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HSRS dokumenti\Tijela HSRS\Upravni odbor\2024\"/>
    </mc:Choice>
  </mc:AlternateContent>
  <bookViews>
    <workbookView xWindow="0" yWindow="0" windowWidth="19200" windowHeight="11595"/>
  </bookViews>
  <sheets>
    <sheet name="FINAN. PL.-ZVRŠ. 01-12 2023"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2" i="1" l="1"/>
  <c r="K71" i="1" s="1"/>
  <c r="K75" i="1"/>
  <c r="K74" i="1" s="1"/>
  <c r="H420" i="1" l="1"/>
  <c r="F417" i="1"/>
  <c r="H416" i="1"/>
  <c r="H415" i="1"/>
  <c r="H413" i="1"/>
  <c r="H411" i="1"/>
  <c r="H410" i="1"/>
  <c r="K409" i="1"/>
  <c r="I409" i="1"/>
  <c r="H409" i="1" s="1"/>
  <c r="K407" i="1"/>
  <c r="J407" i="1"/>
  <c r="H407" i="1"/>
  <c r="K403" i="1"/>
  <c r="K402" i="1"/>
  <c r="K399" i="1" s="1"/>
  <c r="H399" i="1"/>
  <c r="J397" i="1"/>
  <c r="I397" i="1"/>
  <c r="H397" i="1" s="1"/>
  <c r="H396" i="1"/>
  <c r="H395" i="1"/>
  <c r="H393" i="1"/>
  <c r="H392" i="1"/>
  <c r="K391" i="1"/>
  <c r="J391" i="1"/>
  <c r="I391" i="1"/>
  <c r="H390" i="1"/>
  <c r="K386" i="1"/>
  <c r="H386" i="1"/>
  <c r="H385" i="1"/>
  <c r="H384" i="1"/>
  <c r="H383" i="1"/>
  <c r="H382" i="1"/>
  <c r="H381" i="1"/>
  <c r="K380" i="1"/>
  <c r="I380" i="1"/>
  <c r="H380" i="1" s="1"/>
  <c r="F380" i="1"/>
  <c r="F394" i="1" s="1"/>
  <c r="H379" i="1"/>
  <c r="H377" i="1"/>
  <c r="H376" i="1"/>
  <c r="K375" i="1"/>
  <c r="I375" i="1"/>
  <c r="H375" i="1" s="1"/>
  <c r="H374" i="1"/>
  <c r="H373" i="1"/>
  <c r="H372" i="1"/>
  <c r="H371" i="1"/>
  <c r="H370" i="1"/>
  <c r="H369" i="1"/>
  <c r="H368" i="1"/>
  <c r="H367" i="1"/>
  <c r="H366" i="1"/>
  <c r="H365" i="1"/>
  <c r="H364" i="1"/>
  <c r="H361" i="1"/>
  <c r="K360" i="1"/>
  <c r="I360" i="1"/>
  <c r="H360" i="1" s="1"/>
  <c r="H358" i="1"/>
  <c r="H357" i="1"/>
  <c r="I356" i="1"/>
  <c r="H356" i="1" s="1"/>
  <c r="H355" i="1"/>
  <c r="H354" i="1"/>
  <c r="H351" i="1"/>
  <c r="H350" i="1"/>
  <c r="I349" i="1"/>
  <c r="H349" i="1" s="1"/>
  <c r="J348" i="1"/>
  <c r="H347" i="1"/>
  <c r="H346" i="1"/>
  <c r="H344" i="1"/>
  <c r="I343" i="1"/>
  <c r="H343" i="1"/>
  <c r="H341" i="1"/>
  <c r="H340" i="1"/>
  <c r="H339" i="1"/>
  <c r="K338" i="1"/>
  <c r="I338" i="1"/>
  <c r="H338" i="1" s="1"/>
  <c r="H337" i="1"/>
  <c r="H336" i="1"/>
  <c r="K334" i="1"/>
  <c r="K332" i="1" s="1"/>
  <c r="I334" i="1"/>
  <c r="H334" i="1" s="1"/>
  <c r="H333" i="1"/>
  <c r="H331" i="1"/>
  <c r="H330" i="1"/>
  <c r="H329" i="1"/>
  <c r="K327" i="1"/>
  <c r="K326" i="1" s="1"/>
  <c r="H326" i="1"/>
  <c r="H325" i="1"/>
  <c r="H324" i="1"/>
  <c r="H322" i="1"/>
  <c r="H321" i="1"/>
  <c r="K320" i="1"/>
  <c r="K349" i="1" s="1"/>
  <c r="K348" i="1" s="1"/>
  <c r="I320" i="1"/>
  <c r="H320" i="1" s="1"/>
  <c r="H319" i="1"/>
  <c r="H317" i="1"/>
  <c r="H316" i="1"/>
  <c r="H315" i="1"/>
  <c r="K314" i="1"/>
  <c r="I314" i="1"/>
  <c r="H314" i="1" s="1"/>
  <c r="H312" i="1"/>
  <c r="H311" i="1"/>
  <c r="K310" i="1"/>
  <c r="I310" i="1"/>
  <c r="H310" i="1" s="1"/>
  <c r="H308" i="1"/>
  <c r="K307" i="1"/>
  <c r="I307" i="1"/>
  <c r="H307" i="1" s="1"/>
  <c r="H306" i="1"/>
  <c r="I305" i="1"/>
  <c r="H305" i="1" s="1"/>
  <c r="H304" i="1"/>
  <c r="H303" i="1"/>
  <c r="H302" i="1"/>
  <c r="H301" i="1"/>
  <c r="H300" i="1"/>
  <c r="G298" i="1"/>
  <c r="F298" i="1"/>
  <c r="H296" i="1"/>
  <c r="H295" i="1"/>
  <c r="I294" i="1"/>
  <c r="H294" i="1" s="1"/>
  <c r="H293" i="1"/>
  <c r="H291" i="1"/>
  <c r="H290" i="1"/>
  <c r="H289" i="1"/>
  <c r="J288" i="1"/>
  <c r="K288" i="1" s="1"/>
  <c r="H288" i="1"/>
  <c r="H287" i="1"/>
  <c r="H286" i="1"/>
  <c r="H285" i="1"/>
  <c r="I284" i="1"/>
  <c r="H284" i="1" s="1"/>
  <c r="H282" i="1"/>
  <c r="H279" i="1"/>
  <c r="G278" i="1"/>
  <c r="K276" i="1"/>
  <c r="J276" i="1"/>
  <c r="I276" i="1"/>
  <c r="H276" i="1" s="1"/>
  <c r="H275" i="1"/>
  <c r="H274" i="1"/>
  <c r="H271" i="1"/>
  <c r="H270" i="1"/>
  <c r="H269" i="1"/>
  <c r="H268" i="1"/>
  <c r="I265" i="1"/>
  <c r="J265" i="1" s="1"/>
  <c r="K265" i="1" s="1"/>
  <c r="H264" i="1"/>
  <c r="H263" i="1"/>
  <c r="H262" i="1"/>
  <c r="I261" i="1"/>
  <c r="J261" i="1" s="1"/>
  <c r="K261" i="1" s="1"/>
  <c r="H260" i="1"/>
  <c r="H259" i="1"/>
  <c r="H258" i="1"/>
  <c r="H255" i="1"/>
  <c r="G254" i="1"/>
  <c r="K252" i="1"/>
  <c r="I252" i="1"/>
  <c r="H252" i="1" s="1"/>
  <c r="H250" i="1"/>
  <c r="I249" i="1"/>
  <c r="H249" i="1" s="1"/>
  <c r="H247" i="1"/>
  <c r="I246" i="1"/>
  <c r="H246" i="1" s="1"/>
  <c r="G244" i="1"/>
  <c r="H242" i="1"/>
  <c r="H240" i="1"/>
  <c r="H239" i="1"/>
  <c r="H237" i="1"/>
  <c r="H236" i="1"/>
  <c r="H235" i="1"/>
  <c r="H234" i="1"/>
  <c r="I233" i="1"/>
  <c r="H233" i="1" s="1"/>
  <c r="H232" i="1"/>
  <c r="H231" i="1"/>
  <c r="G230" i="1"/>
  <c r="H226" i="1"/>
  <c r="H225" i="1"/>
  <c r="K224" i="1"/>
  <c r="H224" i="1"/>
  <c r="H223" i="1"/>
  <c r="K222" i="1"/>
  <c r="H222" i="1"/>
  <c r="H221" i="1"/>
  <c r="H220" i="1"/>
  <c r="I219" i="1"/>
  <c r="H219" i="1" s="1"/>
  <c r="H218" i="1"/>
  <c r="H217" i="1"/>
  <c r="H216" i="1"/>
  <c r="H215" i="1"/>
  <c r="I214" i="1"/>
  <c r="H214" i="1" s="1"/>
  <c r="H213" i="1"/>
  <c r="I212" i="1"/>
  <c r="H212" i="1" s="1"/>
  <c r="H211" i="1"/>
  <c r="H210" i="1"/>
  <c r="H208" i="1"/>
  <c r="H207" i="1"/>
  <c r="H206" i="1"/>
  <c r="I205" i="1"/>
  <c r="H205" i="1" s="1"/>
  <c r="H204" i="1"/>
  <c r="I203" i="1"/>
  <c r="H203" i="1" s="1"/>
  <c r="H202" i="1"/>
  <c r="H201" i="1"/>
  <c r="G200" i="1"/>
  <c r="H197" i="1"/>
  <c r="H195" i="1"/>
  <c r="K194" i="1"/>
  <c r="I194" i="1"/>
  <c r="H194" i="1" s="1"/>
  <c r="H193" i="1"/>
  <c r="H192" i="1"/>
  <c r="K191" i="1"/>
  <c r="K185" i="1" s="1"/>
  <c r="H191" i="1"/>
  <c r="I190" i="1"/>
  <c r="H190" i="1" s="1"/>
  <c r="H189" i="1"/>
  <c r="G188" i="1"/>
  <c r="J185" i="1"/>
  <c r="H184" i="1"/>
  <c r="H183" i="1"/>
  <c r="H182" i="1"/>
  <c r="H181" i="1"/>
  <c r="H180" i="1"/>
  <c r="H179" i="1"/>
  <c r="I178" i="1"/>
  <c r="H178" i="1" s="1"/>
  <c r="H177" i="1"/>
  <c r="H176" i="1"/>
  <c r="H175" i="1"/>
  <c r="H173" i="1"/>
  <c r="H172" i="1"/>
  <c r="H171" i="1"/>
  <c r="K170" i="1"/>
  <c r="H170" i="1"/>
  <c r="H169" i="1"/>
  <c r="H168" i="1"/>
  <c r="H167" i="1"/>
  <c r="H166" i="1"/>
  <c r="K165" i="1"/>
  <c r="I165" i="1"/>
  <c r="H165" i="1" s="1"/>
  <c r="H164" i="1"/>
  <c r="H163" i="1"/>
  <c r="H162" i="1"/>
  <c r="K161" i="1"/>
  <c r="K156" i="1" s="1"/>
  <c r="H161" i="1"/>
  <c r="H160" i="1"/>
  <c r="H159" i="1"/>
  <c r="H158" i="1"/>
  <c r="H157" i="1"/>
  <c r="I156" i="1"/>
  <c r="H156" i="1" s="1"/>
  <c r="H155" i="1"/>
  <c r="H154" i="1"/>
  <c r="H153" i="1"/>
  <c r="H152" i="1"/>
  <c r="H151" i="1"/>
  <c r="H150" i="1"/>
  <c r="H149" i="1"/>
  <c r="H148" i="1"/>
  <c r="K145" i="1"/>
  <c r="K140" i="1" s="1"/>
  <c r="I145" i="1"/>
  <c r="H145" i="1" s="1"/>
  <c r="G141" i="1"/>
  <c r="G143" i="1" s="1"/>
  <c r="H139" i="1"/>
  <c r="H138" i="1"/>
  <c r="H137" i="1"/>
  <c r="H136" i="1"/>
  <c r="I135" i="1"/>
  <c r="H135" i="1" s="1"/>
  <c r="H133" i="1"/>
  <c r="H132" i="1"/>
  <c r="K131" i="1"/>
  <c r="K123" i="1" s="1"/>
  <c r="I131" i="1"/>
  <c r="H131" i="1" s="1"/>
  <c r="H130" i="1"/>
  <c r="H129" i="1"/>
  <c r="H128" i="1"/>
  <c r="H127" i="1"/>
  <c r="G126" i="1"/>
  <c r="J123" i="1" s="1"/>
  <c r="H122" i="1"/>
  <c r="H121" i="1"/>
  <c r="H119" i="1"/>
  <c r="I118" i="1"/>
  <c r="H118" i="1" s="1"/>
  <c r="H117" i="1"/>
  <c r="K114" i="1"/>
  <c r="K112" i="1"/>
  <c r="K111" i="1"/>
  <c r="H111" i="1"/>
  <c r="H110" i="1"/>
  <c r="H109" i="1"/>
  <c r="I108" i="1"/>
  <c r="H108" i="1" s="1"/>
  <c r="H107" i="1"/>
  <c r="H106" i="1"/>
  <c r="H105" i="1"/>
  <c r="H104" i="1"/>
  <c r="H103" i="1"/>
  <c r="H102" i="1"/>
  <c r="H101" i="1"/>
  <c r="H100" i="1"/>
  <c r="G100" i="1"/>
  <c r="H99" i="1"/>
  <c r="I98" i="1"/>
  <c r="H98" i="1" s="1"/>
  <c r="H97" i="1"/>
  <c r="H96" i="1"/>
  <c r="H95" i="1"/>
  <c r="H94" i="1"/>
  <c r="H93" i="1"/>
  <c r="I92" i="1"/>
  <c r="H92" i="1" s="1"/>
  <c r="J89" i="1"/>
  <c r="H88" i="1"/>
  <c r="H87" i="1"/>
  <c r="H85" i="1"/>
  <c r="H84" i="1"/>
  <c r="I83" i="1"/>
  <c r="H83" i="1" s="1"/>
  <c r="F83" i="1"/>
  <c r="F89" i="1" s="1"/>
  <c r="K78" i="1"/>
  <c r="H78" i="1"/>
  <c r="I74" i="1"/>
  <c r="H74" i="1" s="1"/>
  <c r="H71" i="1"/>
  <c r="H69" i="1"/>
  <c r="H67" i="1"/>
  <c r="I65" i="1"/>
  <c r="I89" i="1" s="1"/>
  <c r="H63" i="1"/>
  <c r="H62" i="1"/>
  <c r="H61" i="1"/>
  <c r="H59" i="1"/>
  <c r="H57" i="1"/>
  <c r="H55" i="1"/>
  <c r="H53" i="1"/>
  <c r="G49" i="1"/>
  <c r="F49" i="1"/>
  <c r="F422" i="1" s="1"/>
  <c r="K41" i="1"/>
  <c r="I41" i="1"/>
  <c r="H41" i="1" s="1"/>
  <c r="H39" i="1"/>
  <c r="H37" i="1"/>
  <c r="H35" i="1"/>
  <c r="H33" i="1"/>
  <c r="J31" i="1"/>
  <c r="J49" i="1" s="1"/>
  <c r="J422" i="1" s="1"/>
  <c r="H31" i="1"/>
  <c r="K29" i="1"/>
  <c r="I29" i="1"/>
  <c r="H27" i="1"/>
  <c r="H25" i="1"/>
  <c r="K219" i="1" l="1"/>
  <c r="K318" i="1"/>
  <c r="I49" i="1"/>
  <c r="I422" i="1" s="1"/>
  <c r="I332" i="1"/>
  <c r="H332" i="1" s="1"/>
  <c r="I348" i="1"/>
  <c r="H348" i="1" s="1"/>
  <c r="G165" i="1"/>
  <c r="J140" i="1"/>
  <c r="H265" i="1"/>
  <c r="I292" i="1"/>
  <c r="H292" i="1" s="1"/>
  <c r="I283" i="1"/>
  <c r="J283" i="1" s="1"/>
  <c r="K283" i="1" s="1"/>
  <c r="I185" i="1"/>
  <c r="H185" i="1" s="1"/>
  <c r="H261" i="1"/>
  <c r="K417" i="1"/>
  <c r="H283" i="1"/>
  <c r="K49" i="1"/>
  <c r="K422" i="1" s="1"/>
  <c r="I123" i="1"/>
  <c r="H123" i="1" s="1"/>
  <c r="I318" i="1"/>
  <c r="H318" i="1" s="1"/>
  <c r="F419" i="1"/>
  <c r="F421" i="1" s="1"/>
  <c r="F423" i="1" s="1"/>
  <c r="I116" i="1"/>
  <c r="J116" i="1" s="1"/>
  <c r="K116" i="1" s="1"/>
  <c r="J394" i="1"/>
  <c r="H29" i="1"/>
  <c r="I140" i="1"/>
  <c r="H140" i="1" s="1"/>
  <c r="I198" i="1"/>
  <c r="H198" i="1" s="1"/>
  <c r="J417" i="1"/>
  <c r="I417" i="1"/>
  <c r="H417" i="1" s="1"/>
  <c r="I209" i="1"/>
  <c r="H209" i="1" s="1"/>
  <c r="I248" i="1"/>
  <c r="H248" i="1" s="1"/>
  <c r="G266" i="1"/>
  <c r="K272" i="1" s="1"/>
  <c r="K113" i="1" s="1"/>
  <c r="K108" i="1" s="1"/>
  <c r="K89" i="1"/>
  <c r="H228" i="1"/>
  <c r="K394" i="1"/>
  <c r="H89" i="1"/>
  <c r="H65" i="1"/>
  <c r="G145" i="1"/>
  <c r="G147" i="1" s="1"/>
  <c r="G156" i="1"/>
  <c r="H391" i="1"/>
  <c r="I174" i="1"/>
  <c r="H174" i="1" s="1"/>
  <c r="I228" i="1"/>
  <c r="H49" i="1" l="1"/>
  <c r="H116" i="1"/>
  <c r="I394" i="1"/>
  <c r="H394" i="1" s="1"/>
  <c r="J292" i="1"/>
  <c r="K292" i="1" s="1"/>
  <c r="K298" i="1" s="1"/>
  <c r="K419" i="1" s="1"/>
  <c r="K421" i="1" s="1"/>
  <c r="K423" i="1" s="1"/>
  <c r="K426" i="1" s="1"/>
  <c r="G267" i="1"/>
  <c r="H422" i="1"/>
  <c r="I298" i="1"/>
  <c r="J298" i="1" l="1"/>
  <c r="J419" i="1" s="1"/>
  <c r="J421" i="1" s="1"/>
  <c r="J423" i="1" s="1"/>
  <c r="H298" i="1"/>
  <c r="I419" i="1"/>
  <c r="H419" i="1" l="1"/>
  <c r="I421" i="1"/>
  <c r="H421" i="1" l="1"/>
  <c r="I423" i="1"/>
  <c r="I426" i="1" l="1"/>
  <c r="H423" i="1"/>
</calcChain>
</file>

<file path=xl/sharedStrings.xml><?xml version="1.0" encoding="utf-8"?>
<sst xmlns="http://schemas.openxmlformats.org/spreadsheetml/2006/main" count="622" uniqueCount="329">
  <si>
    <t>KNJIGOVODSTVO: IZVRŠENJE FINANCIJSKOG PLANA OD 01.01.-31.12.2023</t>
  </si>
  <si>
    <t>Naziv obveznika:</t>
  </si>
  <si>
    <t>HRVATSKI ŠPORTSKO RIBOLOVNI SAVEZ</t>
  </si>
  <si>
    <t>Adresa sjedišta:</t>
  </si>
  <si>
    <t>TRG KREŠIMIRA ĆOSIĆA 11, Grad Zagreb</t>
  </si>
  <si>
    <t>Račun (IBAN):</t>
  </si>
  <si>
    <t>HR5423600001101490561</t>
  </si>
  <si>
    <t>Šifra djelatnosti:</t>
  </si>
  <si>
    <t>9319</t>
  </si>
  <si>
    <t>Ostale sportske djelatnosti</t>
  </si>
  <si>
    <t>RNO broj:</t>
  </si>
  <si>
    <t>Matični broj:</t>
  </si>
  <si>
    <t>03213757</t>
  </si>
  <si>
    <t>OIB:</t>
  </si>
  <si>
    <t>Šifra županije:</t>
  </si>
  <si>
    <t>Zakonski predstavnik:</t>
  </si>
  <si>
    <t>Vladimir Sever</t>
  </si>
  <si>
    <t>FINANCIJSKI PLAN 01.01.-31.12.2023.g.</t>
  </si>
  <si>
    <t xml:space="preserve">Prihodi HŠRS ostvaruju se  iz naknade za prodane ribolovne dozvole, od članarine za rad HŠRS, od HOO, te iz ostalih izvora. </t>
  </si>
  <si>
    <t>Sredstva naplaćena iz ribolovnih dozvola ovlaštenici ribolovnog prava uplaćuju se na račun HŠRS u periodičnim razmacima od jednog mjeseca (za prodane ribolovne dozvole u proteklom periodu). Konačni obračun vrši se najkasnije do kraja STUDENOG za proteklu godinu (dnevne do 15.01. slijedeće godine). Uplate za državne dozvole  2023. godine HŠRS  upotrijebiti će namjenski za zakonom propisane aktivnosti HŠRS-a.</t>
  </si>
  <si>
    <t xml:space="preserve">Za 2023. godinu  HŠRS utvrđuje članarinu u iznosu od 20,00 kuna (2,65 eura) po odraslom članu i 5 kuna (0,66 eura) po kadetu. Uplata utvrđene članarine HŠRS vrši se na račun županijskih saveza ŠRD. HŠRS-u se prosljeđuje 5,00 kn (0,66 eura) po odraslom članu i 1,00 kn (0,13 eura) po kadetu radi evidentiranja članstva. Ostatak do punoga iznosa HŠRS se odriče u korist županijskih saveza ŠRD, a upotrijebiti će se za njihovu redovnu djelatnost. Krajem godine županijski savezi ŠRD obvezni su  HŠRS dostaviti pismen obračun za izdane članske karte HŠRS kao i izvještaj za naplaćena i utrošena sredstva prema gore navedenom. Broj obračunatih članskih iskaznica ne može biti manji od broja prodanih godišnjih ribolovnih dozvola. </t>
  </si>
  <si>
    <t>Osvajanje pojedinačnih i ekipnih odličja na službenim međunarodnim natjecanjima protekle godine stimulira se i novčanim nagradama, kako slijedi: 40.000 Kn (5.309,00 eura) ekipno zlatna, 30.000,00 Kn (3.981,68 eura) ekipno srebrna, 20.000,00 (2.654,46 eura) ekipno brončana, a za pojedinačne medalje: zlato 10.000,00 kn (1.327,23 eura); srebro 5.000,00 kn (663,61 eura) i bronca 3.000,00 kn (398,17 eura). Nagrada za ekipnu medalju ne isključuje pojedinačne športske nagrade. Jedan reprezentativac u raspodjelu može uči najviše sa jednom pojedinačnom medaljom i jednom u ekipnoj medalji.</t>
  </si>
  <si>
    <t>Plan 2023.</t>
  </si>
  <si>
    <t>IZVRŠENJE 01.01-30.09.2023</t>
  </si>
  <si>
    <t>Rebalans plana 2023</t>
  </si>
  <si>
    <t>IZVRŠENJE 01.01-31.12.2023</t>
  </si>
  <si>
    <t>kto</t>
  </si>
  <si>
    <t>MT</t>
  </si>
  <si>
    <t>PR</t>
  </si>
  <si>
    <t>I PRIHODI</t>
  </si>
  <si>
    <t>KN</t>
  </si>
  <si>
    <t>€</t>
  </si>
  <si>
    <t>1.</t>
  </si>
  <si>
    <t>PRIHODI IZ DRŽAVNIH DOZVOLA</t>
  </si>
  <si>
    <t>2.</t>
  </si>
  <si>
    <t>ČLANARINE</t>
  </si>
  <si>
    <t>3212-3</t>
  </si>
  <si>
    <t>3.</t>
  </si>
  <si>
    <t>KAUCIJA ZA NATJECANJE</t>
  </si>
  <si>
    <t>4.</t>
  </si>
  <si>
    <t>HOO PLAĆA TAJNIKA</t>
  </si>
  <si>
    <t>5.</t>
  </si>
  <si>
    <t>HOO NATJECANJA</t>
  </si>
  <si>
    <t xml:space="preserve">HPOO </t>
  </si>
  <si>
    <t>6.</t>
  </si>
  <si>
    <t>HOO REFUNDACIJA PROSTOR</t>
  </si>
  <si>
    <t>VLASTITA DJELATNOST</t>
  </si>
  <si>
    <t>*</t>
  </si>
  <si>
    <t>7.</t>
  </si>
  <si>
    <t>OSTALI PRIHODI</t>
  </si>
  <si>
    <t>a</t>
  </si>
  <si>
    <t>DONACIJE za natjecanja</t>
  </si>
  <si>
    <t>b</t>
  </si>
  <si>
    <t>c</t>
  </si>
  <si>
    <t>SUDAČKI ISPIT</t>
  </si>
  <si>
    <t>d</t>
  </si>
  <si>
    <t xml:space="preserve">REFUNDACIJE PO OSOBI, NATJECANJA, PRATNJA </t>
  </si>
  <si>
    <t>e</t>
  </si>
  <si>
    <t>REF. PO OSOBI, NATJECANJA, PRATNJA-ostalo</t>
  </si>
  <si>
    <t>FINANCIJSKI PR.</t>
  </si>
  <si>
    <t>UKUPNO PRIHODI</t>
  </si>
  <si>
    <t>RASHODI ZA 2023. godinu</t>
  </si>
  <si>
    <t>4-499</t>
  </si>
  <si>
    <t>I - TIJELA HŠRS</t>
  </si>
  <si>
    <t>Skupština HŠRS (46 članova * 1 sjednica)</t>
  </si>
  <si>
    <t>Upravni odbor (20 članova * 3 sjednice = 60 osoba)</t>
  </si>
  <si>
    <t>Nadzorni odbor (3 članova * 3 sjednice = 9 osoba)</t>
  </si>
  <si>
    <t>Natjecateljska komisija (7 članova * 2 sjednice = 16 osoba)</t>
  </si>
  <si>
    <t>Sudačka komisija (7 članova * 2 sjednice = 16 osoba)</t>
  </si>
  <si>
    <t>sudačka komisija</t>
  </si>
  <si>
    <t>seminari za suce</t>
  </si>
  <si>
    <t>Gospodarska komisija (7 članova * 2 sjednice = 14 osoba)</t>
  </si>
  <si>
    <t>Financijska komisija (5 članova * 2 sjednice = 10 osoba)</t>
  </si>
  <si>
    <t>8.</t>
  </si>
  <si>
    <t>Pravna komisija (4 članova * 2 sjednice = 8 osoba)</t>
  </si>
  <si>
    <t>9.</t>
  </si>
  <si>
    <t xml:space="preserve">DELEGATI HŠRS NA SJEDNICAMA DRUGIH ORGANIZACIJA </t>
  </si>
  <si>
    <t>10.</t>
  </si>
  <si>
    <t>DELEGATI HŠRS - EDUKACIJE I OSTALO</t>
  </si>
  <si>
    <t>DELEGATI HŠRS - obilasci</t>
  </si>
  <si>
    <t>EDUKACIJE I OSTALO</t>
  </si>
  <si>
    <t>11.</t>
  </si>
  <si>
    <t>MEĐUNARODNI SASTANCI (2 člana  x  3 sjednice = 6 osoba)</t>
  </si>
  <si>
    <t>MEĐUNARODNI SASTANCI, icsf</t>
  </si>
  <si>
    <t>ALPE ADRIA</t>
  </si>
  <si>
    <t>12.</t>
  </si>
  <si>
    <t xml:space="preserve">KONGRES  CIPSA  i drugih međunarodnih asocijacija                </t>
  </si>
  <si>
    <t>Kongres CIPS, kongres EAF-a</t>
  </si>
  <si>
    <t>Domaćinstvo EAF Hrvatska</t>
  </si>
  <si>
    <t>13.</t>
  </si>
  <si>
    <t>SAJMOVI LOVA I RIBOLOVA (2 člana * 3 sjednice) * 3 sajma</t>
  </si>
  <si>
    <t xml:space="preserve">I </t>
  </si>
  <si>
    <t>II  - NATJECANJA</t>
  </si>
  <si>
    <t>14.</t>
  </si>
  <si>
    <t xml:space="preserve">KUP HŠRS  u lovu ribe – troškovi  HŠRS                                          </t>
  </si>
  <si>
    <t>Domaćinu</t>
  </si>
  <si>
    <t>42110-42430, 424301, 42440</t>
  </si>
  <si>
    <t>Troškovi sudaca i drugih službenih osoba</t>
  </si>
  <si>
    <t>medalje/pehari/športske nagrade</t>
  </si>
  <si>
    <t>smještaj</t>
  </si>
  <si>
    <t>15.</t>
  </si>
  <si>
    <t xml:space="preserve">KUP (SLET) KADETA  </t>
  </si>
  <si>
    <t>refundacija po osobi, pratnja:</t>
  </si>
  <si>
    <t>ukupno</t>
  </si>
  <si>
    <t>reprezentacija</t>
  </si>
  <si>
    <t>osiguranje</t>
  </si>
  <si>
    <t>16.</t>
  </si>
  <si>
    <t xml:space="preserve">POVRAT KAUCIJE – domaćinima kola liga                                          </t>
  </si>
  <si>
    <t xml:space="preserve">Naplaćena,  a ne potrošena kaucija uvećava odobrena sredstva reprezentaciji u kategoriji i disciplini uplatitelja </t>
  </si>
  <si>
    <t>Lige-doznake domaćinima</t>
  </si>
  <si>
    <t>S liga na SP, odobrenje predstavnika SP</t>
  </si>
  <si>
    <t>lige 2022-prije na 2023, sv.dodjela priznanja</t>
  </si>
  <si>
    <t>17.</t>
  </si>
  <si>
    <t xml:space="preserve">CASTING  prvenstvo                                                               </t>
  </si>
  <si>
    <t>18.</t>
  </si>
  <si>
    <t>SENIORI u lovu ribe,</t>
  </si>
  <si>
    <t>I</t>
  </si>
  <si>
    <t>SENIORI u lovu ribe - Španjolska (60,00 Eur)</t>
  </si>
  <si>
    <t xml:space="preserve">    (4 dana x 9 članova = 36 osoba)</t>
  </si>
  <si>
    <t>UO</t>
  </si>
  <si>
    <t>KOTIZACIJA/UPISNINA</t>
  </si>
  <si>
    <t>OSIGURANJE</t>
  </si>
  <si>
    <t>PN/TROŠAK</t>
  </si>
  <si>
    <t>SPORTSKA OPREMA</t>
  </si>
  <si>
    <t>42420, 42513</t>
  </si>
  <si>
    <t>PRIJEVOZ , CESTARINA , GORIVO, pcr</t>
  </si>
  <si>
    <t>f</t>
  </si>
  <si>
    <t>SMJEŠTAJ</t>
  </si>
  <si>
    <t>g</t>
  </si>
  <si>
    <t>HRANA/MAMCI</t>
  </si>
  <si>
    <t>II</t>
  </si>
  <si>
    <t>SENIORI u lovu ribe - Mađarska , europsko prvenstvo</t>
  </si>
  <si>
    <t>19.</t>
  </si>
  <si>
    <t>MLADEŽ (U-15 , U-20 , U -25 ) Portugal (60,00 Eur)</t>
  </si>
  <si>
    <t>UO, po reprezentaciji 1500,00€ (1500,00*3)</t>
  </si>
  <si>
    <t>ref po osobi, U 15</t>
  </si>
  <si>
    <t>U-15</t>
  </si>
  <si>
    <t>42110-42430, 424301</t>
  </si>
  <si>
    <t>42420, 42513, 42440, 42633</t>
  </si>
  <si>
    <t>U-20</t>
  </si>
  <si>
    <t>U-25</t>
  </si>
  <si>
    <t>42420, 42513, 42440</t>
  </si>
  <si>
    <t>20.</t>
  </si>
  <si>
    <t>SENIORI SA INVALIDNOŠĆU u lovu ribe – Francuska (70,00 Eur)</t>
  </si>
  <si>
    <t xml:space="preserve">     (4 dana x 10 članova = 40 osoba) </t>
  </si>
  <si>
    <t>42420, 42513, 42633</t>
  </si>
  <si>
    <t>21.</t>
  </si>
  <si>
    <t>SENIORI u lovu šarana  - Francuska  (70,00 Eur)</t>
  </si>
  <si>
    <t xml:space="preserve">     (4 dana x 10 članova =  40 osoba )</t>
  </si>
  <si>
    <t>donacije</t>
  </si>
  <si>
    <t>uo</t>
  </si>
  <si>
    <t>42613, 42641</t>
  </si>
  <si>
    <t>42616, 42641</t>
  </si>
  <si>
    <t>LIGA 2023</t>
  </si>
  <si>
    <t>22.</t>
  </si>
  <si>
    <t xml:space="preserve">SENIORI u CASTINGU – Poljska (40,00 Eur) </t>
  </si>
  <si>
    <t xml:space="preserve">     (4 dana x  7 članova = 28 osoba)</t>
  </si>
  <si>
    <t>23.</t>
  </si>
  <si>
    <t xml:space="preserve">JUNIORI u CASTINGU – Češka (50,00 Eur) </t>
  </si>
  <si>
    <t>24.</t>
  </si>
  <si>
    <t>SENIORKE  - Srbija (30,00 Eur)</t>
  </si>
  <si>
    <t xml:space="preserve">     (5 dana x  8 članova = 40 osoba)</t>
  </si>
  <si>
    <t>25.</t>
  </si>
  <si>
    <t>SENIORI  u lovu grabežljivca s obale (paušal)</t>
  </si>
  <si>
    <t>LIGA 2023:</t>
  </si>
  <si>
    <t>liga</t>
  </si>
  <si>
    <t>26.</t>
  </si>
  <si>
    <t xml:space="preserve">SENIORI u lovu pastrve muhom Slovačka (paušal)                                                     </t>
  </si>
  <si>
    <t xml:space="preserve">JUNIORI u lovu pastrve muhom BiH (paušal)                                                     </t>
  </si>
  <si>
    <t>doznaka</t>
  </si>
  <si>
    <t>27.</t>
  </si>
  <si>
    <t xml:space="preserve">LOV PASTRVE PRIRODNIM MAMCIMA  Hrvatska  (paušal)  </t>
  </si>
  <si>
    <t>FIPS, HŠRS, delegati</t>
  </si>
  <si>
    <t>28.</t>
  </si>
  <si>
    <t xml:space="preserve">a)SENIORI u lovu pastrvskog grgeča Portugal (paušal)       </t>
  </si>
  <si>
    <t>ANAJAM OPREME, ČAMAC</t>
  </si>
  <si>
    <t>liga 2023</t>
  </si>
  <si>
    <t>29.</t>
  </si>
  <si>
    <t xml:space="preserve">SVJETSKO ZA KLUBOVE Poljska (paušal)   </t>
  </si>
  <si>
    <t>30.</t>
  </si>
  <si>
    <t xml:space="preserve">FEEDER Srbija (paušal)  </t>
  </si>
  <si>
    <t>32.</t>
  </si>
  <si>
    <t>VETERANI Francuska (paušal)</t>
  </si>
  <si>
    <t>33.</t>
  </si>
  <si>
    <t>MASTERS Francuska (paušal)</t>
  </si>
  <si>
    <t>34.</t>
  </si>
  <si>
    <t>LOV PREDATORA IZ ČAMCA USA (paušal)</t>
  </si>
  <si>
    <t>35.</t>
  </si>
  <si>
    <t xml:space="preserve">Dunavsko Jadranski KUP  (kotizacije odluka UO)                                                          </t>
  </si>
  <si>
    <t>NAJAMNINA-OSTALO</t>
  </si>
  <si>
    <t>36.</t>
  </si>
  <si>
    <t>Članarina međunarodnim organizacijama</t>
  </si>
  <si>
    <t>37.</t>
  </si>
  <si>
    <t>Kup HŠRS u lovu šarana</t>
  </si>
  <si>
    <t>38.</t>
  </si>
  <si>
    <t>EAF Susret mladih</t>
  </si>
  <si>
    <t xml:space="preserve">II </t>
  </si>
  <si>
    <t>III -  RAD  UREDA  SAVEZA</t>
  </si>
  <si>
    <t>39.</t>
  </si>
  <si>
    <t>Svečana dodjela priznanja</t>
  </si>
  <si>
    <t>40.</t>
  </si>
  <si>
    <t>Nagrade športašima za 2022.godinu</t>
  </si>
  <si>
    <t>41.</t>
  </si>
  <si>
    <t>Medalje, plakete i pehari</t>
  </si>
  <si>
    <t>42.</t>
  </si>
  <si>
    <t xml:space="preserve">Članske karte  HŠRS, drugi obrasci                              </t>
  </si>
  <si>
    <t>Tiskara Ivana</t>
  </si>
  <si>
    <t>43.</t>
  </si>
  <si>
    <t>Propagandni materijal</t>
  </si>
  <si>
    <t>Markir m.</t>
  </si>
  <si>
    <t>službena odječa, odore</t>
  </si>
  <si>
    <t>44.</t>
  </si>
  <si>
    <t>Materijal za čišćenje</t>
  </si>
  <si>
    <t>45.</t>
  </si>
  <si>
    <t>Uredski materijal</t>
  </si>
  <si>
    <t>46.</t>
  </si>
  <si>
    <t>Tekuće održavanje</t>
  </si>
  <si>
    <t>održavanje aparata Eurocop</t>
  </si>
  <si>
    <t>fina</t>
  </si>
  <si>
    <t>najam i o. aparata Ž. voda</t>
  </si>
  <si>
    <t>odr.klime</t>
  </si>
  <si>
    <t>47.</t>
  </si>
  <si>
    <t>HPT usluge i pošta</t>
  </si>
  <si>
    <t>48.</t>
  </si>
  <si>
    <t xml:space="preserve">Reprezentacija </t>
  </si>
  <si>
    <t>Domjenak HŠRS</t>
  </si>
  <si>
    <t>49.</t>
  </si>
  <si>
    <t>Bankarske usluge</t>
  </si>
  <si>
    <t>50.</t>
  </si>
  <si>
    <t>Obrada ribičkih i ribočuvarskih ispita</t>
  </si>
  <si>
    <t>Iskaznice Dinocilor</t>
  </si>
  <si>
    <t>51.</t>
  </si>
  <si>
    <t>Stručno obrazovanje</t>
  </si>
  <si>
    <t>52.</t>
  </si>
  <si>
    <t>Stručna literatura</t>
  </si>
  <si>
    <t>Tisak knjige</t>
  </si>
  <si>
    <t>53.</t>
  </si>
  <si>
    <t>Tehnička sredstva HŠRS</t>
  </si>
  <si>
    <t>AMORTIZACIJA 2023</t>
  </si>
  <si>
    <t>54.</t>
  </si>
  <si>
    <t>Program za osposobljavanje trenera</t>
  </si>
  <si>
    <t>Odluka UO- višak prihoda iz 2020. godine</t>
  </si>
  <si>
    <t>55.</t>
  </si>
  <si>
    <t>INFORMATIKA I INFORMIRANJE</t>
  </si>
  <si>
    <t>56.</t>
  </si>
  <si>
    <t xml:space="preserve">Centralni softver HŠRS, aplikacije za unos članova </t>
  </si>
  <si>
    <t>Licence i održavanje softver, Vegatop</t>
  </si>
  <si>
    <t>Centralni softver (održavanje, unapređivanje i ažuriranje</t>
  </si>
  <si>
    <t xml:space="preserve">pravo korištenja za sve županijske saveze ŠRD i ribolovne udruge u RH.        </t>
  </si>
  <si>
    <t>pano</t>
  </si>
  <si>
    <t>57.</t>
  </si>
  <si>
    <t>Sitni inventar</t>
  </si>
  <si>
    <t>58.</t>
  </si>
  <si>
    <t>Ostali  troškovi</t>
  </si>
  <si>
    <t>Zastave</t>
  </si>
  <si>
    <t>Značke</t>
  </si>
  <si>
    <t>59.</t>
  </si>
  <si>
    <t>a)Donacije</t>
  </si>
  <si>
    <t>ORŠK, ODLUKA UO</t>
  </si>
  <si>
    <t>AGRONOMSKI FAKULTET</t>
  </si>
  <si>
    <t>60.</t>
  </si>
  <si>
    <t>Prevođenje</t>
  </si>
  <si>
    <t>61.</t>
  </si>
  <si>
    <t>Obveze po kreditima</t>
  </si>
  <si>
    <t>VP iz 2022. godine, odluka UO</t>
  </si>
  <si>
    <t>62.</t>
  </si>
  <si>
    <t>Monografija</t>
  </si>
  <si>
    <t>63.</t>
  </si>
  <si>
    <t>Promidžba HŠRS</t>
  </si>
  <si>
    <t>64.</t>
  </si>
  <si>
    <t>Priručnik za ribiče i ribočuvare</t>
  </si>
  <si>
    <t>65.</t>
  </si>
  <si>
    <t>Uređivanje i održavanje edukacijskog centra - ribolovnog muzeja</t>
  </si>
  <si>
    <t>Režijski troškovi, komunalne naknade</t>
  </si>
  <si>
    <t>Komunalne naknade</t>
  </si>
  <si>
    <t>komunalne naknade su usklađene po novoj specifikaciji</t>
  </si>
  <si>
    <t>66.</t>
  </si>
  <si>
    <t>Najam prostora</t>
  </si>
  <si>
    <t>Najam prostora za skladište</t>
  </si>
  <si>
    <t>HOO prijenos za najam prostora</t>
  </si>
  <si>
    <t>67.</t>
  </si>
  <si>
    <t>Edukacijski centar HŠRS</t>
  </si>
  <si>
    <t>68.</t>
  </si>
  <si>
    <t>Snimanje video materijala HŠRS</t>
  </si>
  <si>
    <t>Snimanje video materijala HŠRS 2023/2024</t>
  </si>
  <si>
    <t>plaćeno 8.000,00 € (4.000,00 € ulazi u trošak 2024.g.)</t>
  </si>
  <si>
    <t>69.</t>
  </si>
  <si>
    <t>Revizija poslovanja HŠRS</t>
  </si>
  <si>
    <t>Revizija poslovanja HŠRS 2022</t>
  </si>
  <si>
    <t xml:space="preserve">III </t>
  </si>
  <si>
    <t>IV  - DJELATNICI SAVEZA</t>
  </si>
  <si>
    <t>70.</t>
  </si>
  <si>
    <t>Plaće</t>
  </si>
  <si>
    <t>71.</t>
  </si>
  <si>
    <t>Ostali izdaci djelatnika</t>
  </si>
  <si>
    <t>naknada za novorođenče, odluka UO</t>
  </si>
  <si>
    <t>72.</t>
  </si>
  <si>
    <t>Doprinosi na plaće</t>
  </si>
  <si>
    <t>73.</t>
  </si>
  <si>
    <t>Prijevoz djelatnika</t>
  </si>
  <si>
    <t>loko</t>
  </si>
  <si>
    <t>74.</t>
  </si>
  <si>
    <t>Osiguranje djelatnika</t>
  </si>
  <si>
    <t>75.</t>
  </si>
  <si>
    <t>Putno osiguranje HŠRS</t>
  </si>
  <si>
    <t>IV</t>
  </si>
  <si>
    <t>.</t>
  </si>
  <si>
    <t>UKUPNO RASHODI</t>
  </si>
  <si>
    <t>Sveukupno rashodi</t>
  </si>
  <si>
    <t>Sveukupno prihodi</t>
  </si>
  <si>
    <t>RAZLIKA</t>
  </si>
  <si>
    <t>KTO</t>
  </si>
  <si>
    <t>KONTO</t>
  </si>
  <si>
    <t>BB</t>
  </si>
  <si>
    <t>MJESTO TROŠKA</t>
  </si>
  <si>
    <t>kontrola:</t>
  </si>
  <si>
    <t>P</t>
  </si>
  <si>
    <t>PROJEKT</t>
  </si>
  <si>
    <t>U Zagrebu, veljača 2024.g.</t>
  </si>
  <si>
    <t xml:space="preserve"> MP </t>
  </si>
  <si>
    <t>RAJP MAKEDONIJA, sjednica</t>
  </si>
  <si>
    <t>dar djetetu , ref  HOO (132,73*2), odluka UO</t>
  </si>
  <si>
    <t>bonus za ur, odluka UO</t>
  </si>
  <si>
    <t>prehrana rad., odluka UO</t>
  </si>
  <si>
    <t>božićnice rad., jub.nag., go, odluka UO</t>
  </si>
  <si>
    <t>umirovljenici, odluka UO</t>
  </si>
  <si>
    <t>Prijevoz djelatnika, odluka UO</t>
  </si>
  <si>
    <t xml:space="preserve">16. POVRAT KAUCIJE – domaćinima kola liga, očka e)      </t>
  </si>
  <si>
    <t xml:space="preserve"> IZVRŠENJE FP OD 01.01.-31.12.2023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</si>
</sst>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k_n_-;\-* #,##0.00\ _k_n_-;_-* &quot;-&quot;??\ _k_n_-;_-@_-"/>
  </numFmts>
  <fonts count="73" x14ac:knownFonts="1">
    <font>
      <sz val="10"/>
      <name val="Arial"/>
      <family val="2"/>
      <charset val="238"/>
    </font>
    <font>
      <sz val="10"/>
      <name val="Arial"/>
      <family val="2"/>
      <charset val="238"/>
    </font>
    <font>
      <b/>
      <u/>
      <sz val="8"/>
      <color theme="1"/>
      <name val="Times New Roman"/>
      <family val="1"/>
      <charset val="238"/>
    </font>
    <font>
      <sz val="8"/>
      <name val="Times New Roman"/>
      <family val="1"/>
      <charset val="238"/>
    </font>
    <font>
      <b/>
      <sz val="7"/>
      <name val="Times New Roman"/>
      <family val="1"/>
      <charset val="238"/>
    </font>
    <font>
      <b/>
      <sz val="8"/>
      <color theme="1"/>
      <name val="Times New Roman"/>
      <family val="1"/>
      <charset val="238"/>
    </font>
    <font>
      <b/>
      <sz val="7"/>
      <color indexed="8"/>
      <name val="Times New Roman"/>
      <family val="1"/>
      <charset val="238"/>
    </font>
    <font>
      <b/>
      <sz val="8"/>
      <color indexed="8"/>
      <name val="Times New Roman"/>
      <family val="1"/>
      <charset val="238"/>
    </font>
    <font>
      <sz val="8"/>
      <color indexed="8"/>
      <name val="Times New Roman"/>
      <family val="1"/>
      <charset val="238"/>
    </font>
    <font>
      <sz val="7"/>
      <name val="Times New Roman"/>
      <family val="1"/>
      <charset val="238"/>
    </font>
    <font>
      <sz val="10"/>
      <name val="Times New Roman"/>
      <family val="1"/>
      <charset val="238"/>
    </font>
    <font>
      <sz val="8"/>
      <color theme="1"/>
      <name val="Times New Roman"/>
      <family val="1"/>
      <charset val="238"/>
    </font>
    <font>
      <b/>
      <sz val="7"/>
      <color theme="0" tint="-0.499984740745262"/>
      <name val="Times New Roman"/>
      <family val="1"/>
      <charset val="238"/>
    </font>
    <font>
      <sz val="11"/>
      <name val="Arial"/>
      <family val="2"/>
      <charset val="238"/>
    </font>
    <font>
      <b/>
      <sz val="6.5"/>
      <color rgb="FF0070C0"/>
      <name val="Times New Roman"/>
      <family val="1"/>
      <charset val="238"/>
    </font>
    <font>
      <b/>
      <sz val="8"/>
      <color rgb="FF0070C0"/>
      <name val="Times New Roman"/>
      <family val="1"/>
      <charset val="238"/>
    </font>
    <font>
      <sz val="6"/>
      <color theme="1"/>
      <name val="Times New Roman"/>
      <family val="1"/>
      <charset val="238"/>
    </font>
    <font>
      <sz val="7"/>
      <color theme="1"/>
      <name val="Times New Roman"/>
      <family val="1"/>
      <charset val="238"/>
    </font>
    <font>
      <b/>
      <sz val="8"/>
      <name val="Times New Roman"/>
      <family val="1"/>
      <charset val="238"/>
    </font>
    <font>
      <sz val="7"/>
      <color indexed="8"/>
      <name val="Times New Roman"/>
      <family val="1"/>
      <charset val="238"/>
    </font>
    <font>
      <sz val="7"/>
      <color theme="0" tint="-0.499984740745262"/>
      <name val="Times New Roman"/>
      <family val="1"/>
      <charset val="238"/>
    </font>
    <font>
      <b/>
      <sz val="6.5"/>
      <color theme="3" tint="0.39997558519241921"/>
      <name val="Times New Roman"/>
      <family val="1"/>
      <charset val="238"/>
    </font>
    <font>
      <b/>
      <sz val="7"/>
      <color rgb="FF0070C0"/>
      <name val="Times New Roman"/>
      <family val="1"/>
      <charset val="238"/>
    </font>
    <font>
      <b/>
      <u val="singleAccounting"/>
      <sz val="7"/>
      <color theme="0" tint="-0.499984740745262"/>
      <name val="Times New Roman"/>
      <family val="1"/>
      <charset val="238"/>
    </font>
    <font>
      <b/>
      <u val="singleAccounting"/>
      <sz val="8"/>
      <color rgb="FF0070C0"/>
      <name val="Times New Roman"/>
      <family val="1"/>
      <charset val="238"/>
    </font>
    <font>
      <sz val="6.5"/>
      <name val="Times New Roman"/>
      <family val="1"/>
      <charset val="238"/>
    </font>
    <font>
      <sz val="11"/>
      <name val="Times New Roman"/>
      <family val="1"/>
      <charset val="238"/>
    </font>
    <font>
      <b/>
      <sz val="7"/>
      <color indexed="10"/>
      <name val="Times New Roman"/>
      <family val="1"/>
      <charset val="238"/>
    </font>
    <font>
      <sz val="8"/>
      <color rgb="FFFF0000"/>
      <name val="Times New Roman"/>
      <family val="1"/>
      <charset val="238"/>
    </font>
    <font>
      <b/>
      <u val="singleAccounting"/>
      <sz val="7"/>
      <color rgb="FFFF0000"/>
      <name val="Times New Roman"/>
      <family val="1"/>
      <charset val="238"/>
    </font>
    <font>
      <b/>
      <u val="singleAccounting"/>
      <sz val="8"/>
      <color rgb="FFFF0000"/>
      <name val="Times New Roman"/>
      <family val="1"/>
      <charset val="238"/>
    </font>
    <font>
      <b/>
      <u val="singleAccounting"/>
      <sz val="7"/>
      <color theme="0" tint="-0.34998626667073579"/>
      <name val="Times New Roman"/>
      <family val="1"/>
      <charset val="238"/>
    </font>
    <font>
      <b/>
      <sz val="8"/>
      <color theme="0" tint="-0.499984740745262"/>
      <name val="Times New Roman"/>
      <family val="1"/>
      <charset val="238"/>
    </font>
    <font>
      <b/>
      <u/>
      <sz val="7"/>
      <color theme="0" tint="-0.499984740745262"/>
      <name val="Times New Roman"/>
      <family val="1"/>
      <charset val="238"/>
    </font>
    <font>
      <b/>
      <u val="singleAccounting"/>
      <sz val="8"/>
      <color theme="0" tint="-0.499984740745262"/>
      <name val="Times New Roman"/>
      <family val="1"/>
      <charset val="238"/>
    </font>
    <font>
      <sz val="8"/>
      <color theme="0" tint="-0.499984740745262"/>
      <name val="Times New Roman"/>
      <family val="1"/>
      <charset val="238"/>
    </font>
    <font>
      <sz val="8"/>
      <color theme="0"/>
      <name val="Times New Roman"/>
      <family val="1"/>
      <charset val="238"/>
    </font>
    <font>
      <u val="singleAccounting"/>
      <sz val="8"/>
      <color theme="0" tint="-0.499984740745262"/>
      <name val="Times New Roman"/>
      <family val="1"/>
      <charset val="238"/>
    </font>
    <font>
      <b/>
      <u/>
      <sz val="8"/>
      <color theme="0" tint="-0.499984740745262"/>
      <name val="Times New Roman"/>
      <family val="1"/>
      <charset val="238"/>
    </font>
    <font>
      <sz val="7"/>
      <color indexed="54"/>
      <name val="Times New Roman"/>
      <family val="1"/>
      <charset val="238"/>
    </font>
    <font>
      <sz val="5"/>
      <color theme="1"/>
      <name val="Times New Roman"/>
      <family val="1"/>
      <charset val="238"/>
    </font>
    <font>
      <b/>
      <sz val="7"/>
      <color theme="1"/>
      <name val="Times New Roman"/>
      <family val="1"/>
      <charset val="238"/>
    </font>
    <font>
      <b/>
      <sz val="8"/>
      <color rgb="FFFF0000"/>
      <name val="Times New Roman"/>
      <family val="1"/>
      <charset val="238"/>
    </font>
    <font>
      <b/>
      <sz val="7"/>
      <color rgb="FFFF0000"/>
      <name val="Times New Roman"/>
      <family val="1"/>
      <charset val="238"/>
    </font>
    <font>
      <u/>
      <sz val="7"/>
      <color theme="0" tint="-0.499984740745262"/>
      <name val="Times New Roman"/>
      <family val="1"/>
      <charset val="238"/>
    </font>
    <font>
      <u/>
      <sz val="8"/>
      <color rgb="FFFF0000"/>
      <name val="Times New Roman"/>
      <family val="1"/>
      <charset val="238"/>
    </font>
    <font>
      <u/>
      <sz val="8"/>
      <color theme="1"/>
      <name val="Times New Roman"/>
      <family val="1"/>
      <charset val="238"/>
    </font>
    <font>
      <u/>
      <sz val="8"/>
      <color indexed="8"/>
      <name val="Times New Roman"/>
      <family val="1"/>
      <charset val="238"/>
    </font>
    <font>
      <u/>
      <sz val="8"/>
      <color theme="0" tint="-0.499984740745262"/>
      <name val="Times New Roman"/>
      <family val="1"/>
      <charset val="238"/>
    </font>
    <font>
      <b/>
      <u val="singleAccounting"/>
      <sz val="8"/>
      <color indexed="10"/>
      <name val="Times New Roman"/>
      <family val="1"/>
      <charset val="238"/>
    </font>
    <font>
      <sz val="8"/>
      <color indexed="54"/>
      <name val="Times New Roman"/>
      <family val="1"/>
      <charset val="238"/>
    </font>
    <font>
      <b/>
      <sz val="6.5"/>
      <color rgb="FFFF0000"/>
      <name val="Times New Roman"/>
      <family val="1"/>
      <charset val="238"/>
    </font>
    <font>
      <b/>
      <u val="singleAccounting"/>
      <sz val="8"/>
      <color indexed="8"/>
      <name val="Times New Roman"/>
      <family val="1"/>
      <charset val="238"/>
    </font>
    <font>
      <b/>
      <u/>
      <sz val="7"/>
      <color indexed="10"/>
      <name val="Times New Roman"/>
      <family val="1"/>
      <charset val="238"/>
    </font>
    <font>
      <b/>
      <sz val="7"/>
      <color indexed="12"/>
      <name val="Times New Roman"/>
      <family val="1"/>
      <charset val="238"/>
    </font>
    <font>
      <b/>
      <u/>
      <sz val="7"/>
      <color rgb="FF0070C0"/>
      <name val="Times New Roman"/>
      <family val="1"/>
      <charset val="238"/>
    </font>
    <font>
      <b/>
      <sz val="6"/>
      <name val="Times New Roman"/>
      <family val="1"/>
      <charset val="238"/>
    </font>
    <font>
      <b/>
      <sz val="5"/>
      <name val="Times New Roman"/>
      <family val="1"/>
      <charset val="238"/>
    </font>
    <font>
      <b/>
      <u val="singleAccounting"/>
      <sz val="8"/>
      <color theme="1"/>
      <name val="Times New Roman"/>
      <family val="1"/>
      <charset val="238"/>
    </font>
    <font>
      <b/>
      <sz val="5"/>
      <color indexed="8"/>
      <name val="Times New Roman"/>
      <family val="1"/>
      <charset val="238"/>
    </font>
    <font>
      <u/>
      <sz val="10"/>
      <name val="Times New Roman"/>
      <family val="1"/>
      <charset val="238"/>
    </font>
    <font>
      <sz val="10"/>
      <color theme="1"/>
      <name val="Times New Roman"/>
      <family val="1"/>
      <charset val="238"/>
    </font>
    <font>
      <sz val="5"/>
      <name val="Times New Roman"/>
      <family val="1"/>
      <charset val="238"/>
    </font>
    <font>
      <b/>
      <sz val="7"/>
      <color theme="0" tint="-0.34998626667073579"/>
      <name val="Times New Roman"/>
      <family val="1"/>
      <charset val="238"/>
    </font>
    <font>
      <b/>
      <u/>
      <sz val="10"/>
      <name val="Times New Roman"/>
      <family val="1"/>
      <charset val="238"/>
    </font>
    <font>
      <b/>
      <u/>
      <sz val="10"/>
      <color theme="1"/>
      <name val="Times New Roman"/>
      <family val="1"/>
      <charset val="238"/>
    </font>
    <font>
      <b/>
      <sz val="10"/>
      <name val="Times New Roman"/>
      <family val="1"/>
      <charset val="238"/>
    </font>
    <font>
      <b/>
      <sz val="10"/>
      <color theme="1"/>
      <name val="Times New Roman"/>
      <family val="1"/>
      <charset val="238"/>
    </font>
    <font>
      <b/>
      <sz val="10"/>
      <color indexed="8"/>
      <name val="Times New Roman"/>
      <family val="1"/>
      <charset val="238"/>
    </font>
    <font>
      <sz val="10"/>
      <color indexed="8"/>
      <name val="Times New Roman"/>
      <family val="1"/>
      <charset val="238"/>
    </font>
    <font>
      <b/>
      <sz val="9"/>
      <color indexed="8"/>
      <name val="Times New Roman"/>
      <family val="1"/>
      <charset val="238"/>
    </font>
    <font>
      <b/>
      <sz val="9"/>
      <color theme="1"/>
      <name val="Times New Roman"/>
      <family val="1"/>
      <charset val="238"/>
    </font>
    <font>
      <b/>
      <sz val="9"/>
      <name val="Times New Roman"/>
      <family val="1"/>
      <charset val="23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5" tint="0.79998168889431442"/>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331">
    <xf numFmtId="0" fontId="0" fillId="0" borderId="0" xfId="0"/>
    <xf numFmtId="43" fontId="12" fillId="3" borderId="17" xfId="1" applyFont="1" applyFill="1" applyBorder="1" applyAlignment="1">
      <alignment horizontal="center" wrapText="1"/>
    </xf>
    <xf numFmtId="43" fontId="5" fillId="3" borderId="17" xfId="1" applyFont="1" applyFill="1" applyBorder="1" applyAlignment="1">
      <alignment horizontal="center" wrapText="1"/>
    </xf>
    <xf numFmtId="43" fontId="7" fillId="2" borderId="17" xfId="1" applyFont="1" applyFill="1" applyBorder="1" applyAlignment="1">
      <alignment horizontal="center" wrapText="1"/>
    </xf>
    <xf numFmtId="0" fontId="13" fillId="0" borderId="0" xfId="0" applyFont="1"/>
    <xf numFmtId="43" fontId="7" fillId="3" borderId="17" xfId="1" applyFont="1" applyFill="1" applyBorder="1" applyAlignment="1">
      <alignment horizontal="center" wrapText="1"/>
    </xf>
    <xf numFmtId="43" fontId="15" fillId="3" borderId="17" xfId="1" applyFont="1" applyFill="1" applyBorder="1" applyAlignment="1">
      <alignment horizontal="center" wrapText="1"/>
    </xf>
    <xf numFmtId="0" fontId="17" fillId="0" borderId="22" xfId="0" applyFont="1" applyBorder="1" applyAlignment="1">
      <alignment horizontal="left" vertical="center" wrapText="1"/>
    </xf>
    <xf numFmtId="0" fontId="17" fillId="0" borderId="23" xfId="0" applyFont="1" applyBorder="1" applyAlignment="1">
      <alignment horizontal="left" vertical="center" wrapText="1"/>
    </xf>
    <xf numFmtId="0" fontId="6" fillId="3" borderId="17" xfId="0" applyFont="1" applyFill="1" applyBorder="1" applyAlignment="1">
      <alignment horizontal="center"/>
    </xf>
    <xf numFmtId="0" fontId="6" fillId="3" borderId="17" xfId="0" applyFont="1" applyFill="1" applyBorder="1" applyAlignment="1">
      <alignment horizontal="left" wrapText="1"/>
    </xf>
    <xf numFmtId="43" fontId="12" fillId="3" borderId="17" xfId="1" applyFont="1" applyFill="1" applyBorder="1" applyAlignment="1">
      <alignment wrapText="1"/>
    </xf>
    <xf numFmtId="43" fontId="7" fillId="3" borderId="17" xfId="1" applyFont="1" applyFill="1" applyBorder="1" applyAlignment="1">
      <alignment wrapText="1"/>
    </xf>
    <xf numFmtId="43" fontId="7" fillId="2" borderId="17" xfId="1" applyFont="1" applyFill="1" applyBorder="1" applyAlignment="1">
      <alignment wrapText="1"/>
    </xf>
    <xf numFmtId="0" fontId="16" fillId="0" borderId="24" xfId="0" applyFont="1" applyBorder="1" applyAlignment="1">
      <alignment horizontal="left"/>
    </xf>
    <xf numFmtId="0" fontId="17" fillId="0" borderId="25" xfId="0" applyFont="1" applyBorder="1" applyAlignment="1">
      <alignment horizontal="left" vertical="center" wrapText="1"/>
    </xf>
    <xf numFmtId="0" fontId="17" fillId="0" borderId="26" xfId="0" applyFont="1" applyBorder="1" applyAlignment="1">
      <alignment horizontal="left" vertical="center" wrapText="1"/>
    </xf>
    <xf numFmtId="43" fontId="12" fillId="3" borderId="17" xfId="1" applyFont="1" applyFill="1" applyBorder="1" applyAlignment="1">
      <alignment horizontal="left" wrapText="1"/>
    </xf>
    <xf numFmtId="43" fontId="7" fillId="3" borderId="17" xfId="1" applyFont="1" applyFill="1" applyBorder="1" applyAlignment="1">
      <alignment horizontal="left" wrapText="1"/>
    </xf>
    <xf numFmtId="43" fontId="7" fillId="2" borderId="17" xfId="1" applyFont="1" applyFill="1" applyBorder="1" applyAlignment="1">
      <alignment horizontal="left" wrapText="1"/>
    </xf>
    <xf numFmtId="43" fontId="18" fillId="3" borderId="17" xfId="1" applyFont="1" applyFill="1" applyBorder="1" applyAlignment="1">
      <alignment horizontal="left" wrapText="1"/>
    </xf>
    <xf numFmtId="43" fontId="18" fillId="2" borderId="17" xfId="1" applyFont="1" applyFill="1" applyBorder="1" applyAlignment="1">
      <alignment horizontal="left" wrapText="1"/>
    </xf>
    <xf numFmtId="0" fontId="4" fillId="3" borderId="17" xfId="0" applyFont="1" applyFill="1" applyBorder="1" applyAlignment="1">
      <alignment horizontal="left" wrapText="1"/>
    </xf>
    <xf numFmtId="0" fontId="19" fillId="3" borderId="17" xfId="0" applyFont="1" applyFill="1" applyBorder="1" applyAlignment="1">
      <alignment horizontal="center"/>
    </xf>
    <xf numFmtId="0" fontId="12" fillId="3" borderId="17" xfId="0" applyFont="1" applyFill="1" applyBorder="1" applyAlignment="1">
      <alignment horizontal="right" wrapText="1"/>
    </xf>
    <xf numFmtId="43" fontId="20" fillId="3" borderId="17" xfId="1" applyFont="1" applyFill="1" applyBorder="1" applyAlignment="1">
      <alignment horizontal="left" wrapText="1"/>
    </xf>
    <xf numFmtId="43" fontId="3" fillId="3" borderId="17" xfId="1" applyFont="1" applyFill="1" applyBorder="1" applyAlignment="1">
      <alignment horizontal="left" wrapText="1"/>
    </xf>
    <xf numFmtId="43" fontId="3" fillId="2" borderId="17" xfId="1" applyFont="1" applyFill="1" applyBorder="1" applyAlignment="1">
      <alignment horizontal="left" wrapText="1"/>
    </xf>
    <xf numFmtId="0" fontId="17" fillId="0" borderId="28" xfId="0" applyFont="1" applyBorder="1" applyAlignment="1">
      <alignment horizontal="left" vertical="center" wrapText="1"/>
    </xf>
    <xf numFmtId="0" fontId="17" fillId="0" borderId="29" xfId="0" applyFont="1" applyBorder="1" applyAlignment="1">
      <alignment horizontal="left" vertical="center" wrapText="1"/>
    </xf>
    <xf numFmtId="0" fontId="22" fillId="3" borderId="17" xfId="0" applyFont="1" applyFill="1" applyBorder="1" applyAlignment="1">
      <alignment wrapText="1"/>
    </xf>
    <xf numFmtId="0" fontId="22" fillId="3" borderId="17" xfId="0" applyFont="1" applyFill="1" applyBorder="1" applyAlignment="1">
      <alignment horizontal="right"/>
    </xf>
    <xf numFmtId="43" fontId="23" fillId="3" borderId="17" xfId="1" applyFont="1" applyFill="1" applyBorder="1" applyAlignment="1">
      <alignment horizontal="left"/>
    </xf>
    <xf numFmtId="43" fontId="24" fillId="3" borderId="17" xfId="1" applyFont="1" applyFill="1" applyBorder="1" applyAlignment="1">
      <alignment horizontal="left"/>
    </xf>
    <xf numFmtId="43" fontId="24" fillId="2" borderId="17" xfId="1" applyFont="1" applyFill="1" applyBorder="1" applyAlignment="1">
      <alignment horizontal="left"/>
    </xf>
    <xf numFmtId="43" fontId="24" fillId="3" borderId="17" xfId="1" applyFont="1" applyFill="1" applyBorder="1" applyAlignment="1">
      <alignment horizontal="center" wrapText="1"/>
    </xf>
    <xf numFmtId="0" fontId="25" fillId="0" borderId="16" xfId="0" applyFont="1" applyBorder="1" applyAlignment="1">
      <alignment horizontal="left"/>
    </xf>
    <xf numFmtId="0" fontId="25" fillId="0" borderId="0" xfId="0" applyFont="1" applyBorder="1" applyAlignment="1"/>
    <xf numFmtId="0" fontId="25" fillId="0" borderId="9" xfId="0" applyFont="1" applyBorder="1" applyAlignment="1"/>
    <xf numFmtId="0" fontId="9" fillId="0" borderId="30" xfId="0" applyFont="1" applyBorder="1" applyAlignment="1"/>
    <xf numFmtId="0" fontId="3" fillId="0" borderId="30" xfId="0" applyFont="1" applyBorder="1" applyAlignment="1"/>
    <xf numFmtId="0" fontId="3" fillId="2" borderId="30" xfId="0" applyFont="1" applyFill="1" applyBorder="1" applyAlignment="1"/>
    <xf numFmtId="0" fontId="3" fillId="0" borderId="30" xfId="0" applyFont="1" applyBorder="1" applyAlignment="1">
      <alignment horizontal="center" wrapText="1"/>
    </xf>
    <xf numFmtId="0" fontId="26" fillId="0" borderId="1" xfId="0" applyFont="1" applyBorder="1" applyAlignment="1">
      <alignment horizontal="left"/>
    </xf>
    <xf numFmtId="0" fontId="17" fillId="0" borderId="2" xfId="0" applyFont="1" applyBorder="1" applyAlignment="1">
      <alignment wrapText="1"/>
    </xf>
    <xf numFmtId="0" fontId="17" fillId="0" borderId="3" xfId="0" applyFont="1" applyBorder="1" applyAlignment="1">
      <alignment wrapText="1"/>
    </xf>
    <xf numFmtId="0" fontId="20" fillId="0" borderId="17" xfId="0" applyFont="1" applyBorder="1"/>
    <xf numFmtId="0" fontId="3" fillId="0" borderId="17" xfId="0" applyFont="1" applyBorder="1"/>
    <xf numFmtId="0" fontId="3" fillId="2" borderId="17" xfId="0" applyFont="1" applyFill="1" applyBorder="1"/>
    <xf numFmtId="0" fontId="17" fillId="0" borderId="22" xfId="0" applyFont="1" applyBorder="1" applyAlignment="1">
      <alignment vertical="center" wrapText="1"/>
    </xf>
    <xf numFmtId="0" fontId="17" fillId="0" borderId="23" xfId="0" applyFont="1" applyBorder="1" applyAlignment="1">
      <alignment vertical="center" wrapText="1"/>
    </xf>
    <xf numFmtId="0" fontId="6" fillId="3" borderId="17" xfId="0" applyFont="1" applyFill="1" applyBorder="1" applyAlignment="1"/>
    <xf numFmtId="0" fontId="8" fillId="0" borderId="17" xfId="0" applyFont="1" applyBorder="1"/>
    <xf numFmtId="0" fontId="8" fillId="2" borderId="17" xfId="0" applyFont="1" applyFill="1" applyBorder="1"/>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19" fillId="3" borderId="17" xfId="0" applyFont="1" applyFill="1" applyBorder="1" applyAlignment="1">
      <alignment horizontal="right" wrapText="1"/>
    </xf>
    <xf numFmtId="43" fontId="20" fillId="3" borderId="17" xfId="1" applyFont="1" applyFill="1" applyBorder="1" applyAlignment="1">
      <alignment horizontal="left" vertical="center" wrapText="1"/>
    </xf>
    <xf numFmtId="43" fontId="3" fillId="3" borderId="17" xfId="1" applyFont="1" applyFill="1" applyBorder="1" applyAlignment="1">
      <alignment horizontal="left" vertical="center" wrapText="1"/>
    </xf>
    <xf numFmtId="43" fontId="3" fillId="2" borderId="17" xfId="1" applyFont="1" applyFill="1" applyBorder="1" applyAlignment="1">
      <alignment horizontal="left" vertical="center" wrapText="1"/>
    </xf>
    <xf numFmtId="43" fontId="8" fillId="2" borderId="17" xfId="1" applyFont="1" applyFill="1" applyBorder="1" applyAlignment="1">
      <alignment horizontal="center" wrapText="1"/>
    </xf>
    <xf numFmtId="0" fontId="9" fillId="3" borderId="17" xfId="0" applyFont="1" applyFill="1" applyBorder="1" applyAlignment="1">
      <alignment horizontal="right" wrapText="1"/>
    </xf>
    <xf numFmtId="43" fontId="3" fillId="2" borderId="17" xfId="1" applyFont="1" applyFill="1" applyBorder="1" applyAlignment="1">
      <alignment horizontal="right" wrapText="1"/>
    </xf>
    <xf numFmtId="43" fontId="8" fillId="3" borderId="17" xfId="1" applyFont="1" applyFill="1" applyBorder="1" applyAlignment="1">
      <alignment horizontal="center" wrapText="1"/>
    </xf>
    <xf numFmtId="43" fontId="8" fillId="2" borderId="17" xfId="1" applyFont="1" applyFill="1" applyBorder="1" applyAlignment="1">
      <alignment horizontal="left" wrapText="1"/>
    </xf>
    <xf numFmtId="43" fontId="8" fillId="3" borderId="17" xfId="1" applyFont="1" applyFill="1" applyBorder="1" applyAlignment="1">
      <alignment horizontal="right" wrapText="1"/>
    </xf>
    <xf numFmtId="43" fontId="8" fillId="2" borderId="17" xfId="1" applyFont="1" applyFill="1" applyBorder="1" applyAlignment="1">
      <alignment horizontal="right" wrapText="1"/>
    </xf>
    <xf numFmtId="0" fontId="16" fillId="0" borderId="31" xfId="0" applyFont="1" applyBorder="1" applyAlignment="1">
      <alignment horizontal="left" vertical="center" textRotation="90" wrapText="1"/>
    </xf>
    <xf numFmtId="0" fontId="25" fillId="0" borderId="32" xfId="0" applyFont="1" applyBorder="1"/>
    <xf numFmtId="0" fontId="25" fillId="0" borderId="33" xfId="0" applyFont="1" applyBorder="1"/>
    <xf numFmtId="43" fontId="20" fillId="3" borderId="17" xfId="1" applyFont="1" applyFill="1" applyBorder="1" applyAlignment="1">
      <alignment horizontal="right" wrapText="1"/>
    </xf>
    <xf numFmtId="43" fontId="3" fillId="3" borderId="17" xfId="1" applyFont="1" applyFill="1" applyBorder="1" applyAlignment="1">
      <alignment horizontal="right" wrapText="1"/>
    </xf>
    <xf numFmtId="0" fontId="16" fillId="0" borderId="1" xfId="0" applyFont="1" applyBorder="1" applyAlignment="1">
      <alignment horizontal="left" vertical="center" textRotation="90" wrapText="1"/>
    </xf>
    <xf numFmtId="0" fontId="25" fillId="0" borderId="2" xfId="0" applyFont="1" applyBorder="1"/>
    <xf numFmtId="0" fontId="25" fillId="0" borderId="3" xfId="0" applyFont="1" applyBorder="1"/>
    <xf numFmtId="43" fontId="23" fillId="3" borderId="17" xfId="1" applyFont="1" applyFill="1" applyBorder="1" applyAlignment="1">
      <alignment wrapText="1"/>
    </xf>
    <xf numFmtId="43" fontId="30" fillId="3" borderId="17" xfId="1" applyFont="1" applyFill="1" applyBorder="1" applyAlignment="1">
      <alignment wrapText="1"/>
    </xf>
    <xf numFmtId="43" fontId="31" fillId="3" borderId="17" xfId="1" applyFont="1" applyFill="1" applyBorder="1" applyAlignment="1">
      <alignment wrapText="1"/>
    </xf>
    <xf numFmtId="43" fontId="30" fillId="2" borderId="17" xfId="1" applyFont="1" applyFill="1" applyBorder="1" applyAlignment="1">
      <alignment wrapText="1"/>
    </xf>
    <xf numFmtId="43" fontId="30" fillId="3" borderId="17" xfId="1" applyFont="1" applyFill="1" applyBorder="1" applyAlignment="1">
      <alignment horizontal="center" wrapText="1"/>
    </xf>
    <xf numFmtId="0" fontId="16" fillId="0" borderId="16" xfId="0" applyFont="1" applyBorder="1" applyAlignment="1">
      <alignment horizontal="left" vertical="center" textRotation="90" wrapText="1"/>
    </xf>
    <xf numFmtId="0" fontId="25" fillId="0" borderId="0" xfId="0" applyFont="1" applyBorder="1"/>
    <xf numFmtId="43" fontId="29" fillId="3" borderId="17" xfId="1" applyFont="1" applyFill="1" applyBorder="1" applyAlignment="1">
      <alignment horizontal="center" wrapText="1"/>
    </xf>
    <xf numFmtId="0" fontId="17" fillId="0" borderId="25" xfId="0" applyFont="1" applyBorder="1" applyAlignment="1">
      <alignment horizontal="center"/>
    </xf>
    <xf numFmtId="0" fontId="17" fillId="0" borderId="26" xfId="0" applyFont="1" applyBorder="1" applyAlignment="1">
      <alignment horizontal="center"/>
    </xf>
    <xf numFmtId="0" fontId="20" fillId="3" borderId="17" xfId="0" applyFont="1" applyFill="1" applyBorder="1"/>
    <xf numFmtId="0" fontId="3" fillId="3" borderId="17" xfId="0" applyFont="1" applyFill="1" applyBorder="1"/>
    <xf numFmtId="43" fontId="20" fillId="3" borderId="17" xfId="1" applyFont="1" applyFill="1" applyBorder="1" applyAlignment="1">
      <alignment horizontal="right"/>
    </xf>
    <xf numFmtId="43" fontId="3" fillId="3" borderId="17" xfId="1" applyFont="1" applyFill="1" applyBorder="1" applyAlignment="1">
      <alignment horizontal="right"/>
    </xf>
    <xf numFmtId="0" fontId="19" fillId="3" borderId="17" xfId="0" applyFont="1" applyFill="1" applyBorder="1" applyAlignment="1">
      <alignment horizontal="center" wrapText="1"/>
    </xf>
    <xf numFmtId="43" fontId="3" fillId="2" borderId="17" xfId="1" applyFont="1" applyFill="1" applyBorder="1" applyAlignment="1">
      <alignment horizontal="right"/>
    </xf>
    <xf numFmtId="43" fontId="32" fillId="3" borderId="17" xfId="1" applyFont="1" applyFill="1" applyBorder="1" applyAlignment="1">
      <alignment horizontal="left" wrapText="1"/>
    </xf>
    <xf numFmtId="0" fontId="33" fillId="3" borderId="17" xfId="0" applyFont="1" applyFill="1" applyBorder="1" applyAlignment="1">
      <alignment horizontal="right" wrapText="1"/>
    </xf>
    <xf numFmtId="43" fontId="34" fillId="3" borderId="17" xfId="1" applyFont="1" applyFill="1" applyBorder="1" applyAlignment="1">
      <alignment horizontal="left" wrapText="1"/>
    </xf>
    <xf numFmtId="43" fontId="18" fillId="3" borderId="17" xfId="1" applyFont="1" applyFill="1" applyBorder="1" applyAlignment="1">
      <alignment horizontal="center" wrapText="1"/>
    </xf>
    <xf numFmtId="43" fontId="18" fillId="2" borderId="17" xfId="1" applyFont="1" applyFill="1" applyBorder="1" applyAlignment="1">
      <alignment horizontal="center" wrapText="1"/>
    </xf>
    <xf numFmtId="0" fontId="20" fillId="3" borderId="17" xfId="0" applyFont="1" applyFill="1" applyBorder="1" applyAlignment="1">
      <alignment horizontal="right" wrapText="1"/>
    </xf>
    <xf numFmtId="43" fontId="35" fillId="2" borderId="17" xfId="1" applyFont="1" applyFill="1" applyBorder="1" applyAlignment="1">
      <alignment horizontal="right" wrapText="1"/>
    </xf>
    <xf numFmtId="43" fontId="36" fillId="2" borderId="17" xfId="1" applyFont="1" applyFill="1" applyBorder="1" applyAlignment="1">
      <alignment horizontal="right" wrapText="1"/>
    </xf>
    <xf numFmtId="43" fontId="37" fillId="3" borderId="17" xfId="1" applyFont="1" applyFill="1" applyBorder="1" applyAlignment="1">
      <alignment horizontal="right" wrapText="1"/>
    </xf>
    <xf numFmtId="43" fontId="37" fillId="3" borderId="17" xfId="1" applyFont="1" applyFill="1" applyBorder="1" applyAlignment="1">
      <alignment horizontal="center" wrapText="1"/>
    </xf>
    <xf numFmtId="43" fontId="28" fillId="3" borderId="17" xfId="1" applyFont="1" applyFill="1" applyBorder="1" applyAlignment="1">
      <alignment horizontal="right" wrapText="1"/>
    </xf>
    <xf numFmtId="43" fontId="11" fillId="2" borderId="17" xfId="1" applyFont="1" applyFill="1" applyBorder="1" applyAlignment="1">
      <alignment horizontal="right" wrapText="1"/>
    </xf>
    <xf numFmtId="43" fontId="4" fillId="2" borderId="17" xfId="1" applyFont="1" applyFill="1" applyBorder="1" applyAlignment="1">
      <alignment horizontal="center" wrapText="1"/>
    </xf>
    <xf numFmtId="43" fontId="33" fillId="3" borderId="17" xfId="1" applyFont="1" applyFill="1" applyBorder="1" applyAlignment="1">
      <alignment horizontal="left" wrapText="1"/>
    </xf>
    <xf numFmtId="43" fontId="38" fillId="3" borderId="17" xfId="1" applyFont="1" applyFill="1" applyBorder="1" applyAlignment="1">
      <alignment horizontal="left" wrapText="1"/>
    </xf>
    <xf numFmtId="0" fontId="17" fillId="3" borderId="17" xfId="0" applyFont="1" applyFill="1" applyBorder="1" applyAlignment="1">
      <alignment horizontal="right" wrapText="1"/>
    </xf>
    <xf numFmtId="43" fontId="9" fillId="3" borderId="17" xfId="1" applyFont="1" applyFill="1" applyBorder="1" applyAlignment="1">
      <alignment horizontal="right" wrapText="1"/>
    </xf>
    <xf numFmtId="0" fontId="39" fillId="3" borderId="17" xfId="0" applyFont="1" applyFill="1" applyBorder="1" applyAlignment="1">
      <alignment horizontal="center" wrapText="1"/>
    </xf>
    <xf numFmtId="0" fontId="17" fillId="3" borderId="17" xfId="0" applyFont="1" applyFill="1" applyBorder="1" applyAlignment="1">
      <alignment horizontal="right"/>
    </xf>
    <xf numFmtId="43" fontId="4" fillId="3" borderId="17" xfId="1" applyFont="1" applyFill="1" applyBorder="1" applyAlignment="1">
      <alignment horizontal="left" wrapText="1"/>
    </xf>
    <xf numFmtId="43" fontId="33" fillId="2" borderId="17" xfId="1" applyFont="1" applyFill="1" applyBorder="1" applyAlignment="1">
      <alignment horizontal="left" wrapText="1"/>
    </xf>
    <xf numFmtId="43" fontId="38" fillId="2" borderId="17" xfId="1" applyFont="1" applyFill="1" applyBorder="1" applyAlignment="1">
      <alignment horizontal="left" wrapText="1"/>
    </xf>
    <xf numFmtId="0" fontId="4" fillId="3" borderId="17" xfId="0" applyFont="1" applyFill="1" applyBorder="1" applyAlignment="1">
      <alignment horizontal="center"/>
    </xf>
    <xf numFmtId="0" fontId="4" fillId="3" borderId="17" xfId="0" applyFont="1" applyFill="1" applyBorder="1" applyAlignment="1">
      <alignment horizontal="center" wrapText="1"/>
    </xf>
    <xf numFmtId="43" fontId="17" fillId="3" borderId="17" xfId="1" applyFont="1" applyFill="1" applyBorder="1" applyAlignment="1">
      <alignment horizontal="left" wrapText="1"/>
    </xf>
    <xf numFmtId="0" fontId="40" fillId="0" borderId="24" xfId="0" applyFont="1" applyBorder="1" applyAlignment="1">
      <alignment horizontal="left"/>
    </xf>
    <xf numFmtId="43" fontId="41" fillId="3" borderId="17" xfId="1" applyFont="1" applyFill="1" applyBorder="1" applyAlignment="1">
      <alignment horizontal="left" wrapText="1"/>
    </xf>
    <xf numFmtId="43" fontId="42" fillId="3" borderId="17" xfId="1" applyFont="1" applyFill="1" applyBorder="1" applyAlignment="1">
      <alignment horizontal="left" wrapText="1"/>
    </xf>
    <xf numFmtId="43" fontId="42" fillId="2" borderId="17" xfId="1" applyFont="1" applyFill="1" applyBorder="1" applyAlignment="1">
      <alignment horizontal="left" wrapText="1"/>
    </xf>
    <xf numFmtId="0" fontId="13" fillId="3" borderId="0" xfId="0" applyFont="1" applyFill="1"/>
    <xf numFmtId="0" fontId="43" fillId="3" borderId="17" xfId="0" applyFont="1" applyFill="1" applyBorder="1" applyAlignment="1">
      <alignment horizontal="center" wrapText="1"/>
    </xf>
    <xf numFmtId="43" fontId="12" fillId="3" borderId="17" xfId="1" applyFont="1" applyFill="1" applyBorder="1" applyAlignment="1">
      <alignment horizontal="right" wrapText="1"/>
    </xf>
    <xf numFmtId="43" fontId="35" fillId="3" borderId="17" xfId="1" applyFont="1" applyFill="1" applyBorder="1" applyAlignment="1">
      <alignment horizontal="center" wrapText="1"/>
    </xf>
    <xf numFmtId="43" fontId="18" fillId="3" borderId="17" xfId="1" applyFont="1" applyFill="1" applyBorder="1" applyAlignment="1">
      <alignment wrapText="1"/>
    </xf>
    <xf numFmtId="43" fontId="18" fillId="2" borderId="17" xfId="1" applyFont="1" applyFill="1" applyBorder="1" applyAlignment="1">
      <alignment wrapText="1"/>
    </xf>
    <xf numFmtId="43" fontId="20" fillId="3" borderId="17" xfId="1" applyFont="1" applyFill="1" applyBorder="1" applyAlignment="1">
      <alignment wrapText="1"/>
    </xf>
    <xf numFmtId="43" fontId="3" fillId="3" borderId="17" xfId="1" applyFont="1" applyFill="1" applyBorder="1" applyAlignment="1">
      <alignment wrapText="1"/>
    </xf>
    <xf numFmtId="43" fontId="42" fillId="3" borderId="17" xfId="1" applyFont="1" applyFill="1" applyBorder="1" applyAlignment="1">
      <alignment wrapText="1"/>
    </xf>
    <xf numFmtId="43" fontId="42" fillId="2" borderId="17" xfId="1" applyFont="1" applyFill="1" applyBorder="1" applyAlignment="1">
      <alignment horizontal="right" wrapText="1"/>
    </xf>
    <xf numFmtId="0" fontId="4" fillId="3" borderId="17" xfId="0" applyFont="1" applyFill="1" applyBorder="1" applyAlignment="1">
      <alignment horizontal="left"/>
    </xf>
    <xf numFmtId="0" fontId="44" fillId="3" borderId="17" xfId="0" applyFont="1" applyFill="1" applyBorder="1" applyAlignment="1">
      <alignment horizontal="right"/>
    </xf>
    <xf numFmtId="43" fontId="44" fillId="3" borderId="17" xfId="1" applyFont="1" applyFill="1" applyBorder="1" applyAlignment="1">
      <alignment wrapText="1"/>
    </xf>
    <xf numFmtId="43" fontId="45" fillId="3" borderId="17" xfId="1" applyFont="1" applyFill="1" applyBorder="1" applyAlignment="1">
      <alignment wrapText="1"/>
    </xf>
    <xf numFmtId="43" fontId="46" fillId="2" borderId="17" xfId="1" applyFont="1" applyFill="1" applyBorder="1" applyAlignment="1">
      <alignment horizontal="right" wrapText="1"/>
    </xf>
    <xf numFmtId="43" fontId="47" fillId="3" borderId="17" xfId="1" applyFont="1" applyFill="1" applyBorder="1" applyAlignment="1">
      <alignment horizontal="center" wrapText="1"/>
    </xf>
    <xf numFmtId="43" fontId="48" fillId="3" borderId="17" xfId="1" applyFont="1" applyFill="1" applyBorder="1" applyAlignment="1">
      <alignment horizontal="center" wrapText="1"/>
    </xf>
    <xf numFmtId="0" fontId="13" fillId="0" borderId="0" xfId="0" applyFont="1" applyBorder="1"/>
    <xf numFmtId="43" fontId="32" fillId="3" borderId="17" xfId="1" applyFont="1" applyFill="1" applyBorder="1" applyAlignment="1">
      <alignment wrapText="1"/>
    </xf>
    <xf numFmtId="43" fontId="34" fillId="3" borderId="17" xfId="1" applyFont="1" applyFill="1" applyBorder="1" applyAlignment="1">
      <alignment wrapText="1"/>
    </xf>
    <xf numFmtId="43" fontId="3" fillId="2" borderId="17" xfId="1" applyFont="1" applyFill="1" applyBorder="1" applyAlignment="1">
      <alignment wrapText="1"/>
    </xf>
    <xf numFmtId="43" fontId="18" fillId="2" borderId="17" xfId="1" applyFont="1" applyFill="1" applyBorder="1" applyAlignment="1">
      <alignment horizontal="right" wrapText="1"/>
    </xf>
    <xf numFmtId="0" fontId="41" fillId="3" borderId="17" xfId="0" applyFont="1" applyFill="1" applyBorder="1" applyAlignment="1">
      <alignment horizontal="center"/>
    </xf>
    <xf numFmtId="0" fontId="41" fillId="3" borderId="17" xfId="0" applyFont="1" applyFill="1" applyBorder="1" applyAlignment="1">
      <alignment horizontal="left" wrapText="1"/>
    </xf>
    <xf numFmtId="43" fontId="5" fillId="3" borderId="17" xfId="1" applyFont="1" applyFill="1" applyBorder="1" applyAlignment="1">
      <alignment horizontal="left" wrapText="1"/>
    </xf>
    <xf numFmtId="43" fontId="48" fillId="3" borderId="17" xfId="1" applyFont="1" applyFill="1" applyBorder="1" applyAlignment="1">
      <alignment wrapText="1"/>
    </xf>
    <xf numFmtId="43" fontId="48" fillId="2" borderId="17" xfId="1" applyFont="1" applyFill="1" applyBorder="1" applyAlignment="1">
      <alignment horizontal="right" wrapText="1"/>
    </xf>
    <xf numFmtId="43" fontId="38" fillId="3" borderId="17" xfId="1" applyFont="1" applyFill="1" applyBorder="1" applyAlignment="1">
      <alignment horizontal="center" wrapText="1"/>
    </xf>
    <xf numFmtId="0" fontId="12" fillId="3" borderId="17" xfId="0" applyFont="1" applyFill="1" applyBorder="1" applyAlignment="1">
      <alignment horizontal="center"/>
    </xf>
    <xf numFmtId="0" fontId="12" fillId="3" borderId="17" xfId="0" applyFont="1" applyFill="1" applyBorder="1" applyAlignment="1">
      <alignment horizontal="left" wrapText="1"/>
    </xf>
    <xf numFmtId="43" fontId="35" fillId="3" borderId="17" xfId="1" applyFont="1" applyFill="1" applyBorder="1" applyAlignment="1">
      <alignment wrapText="1"/>
    </xf>
    <xf numFmtId="43" fontId="32" fillId="3" borderId="17" xfId="1" applyFont="1" applyFill="1" applyBorder="1" applyAlignment="1">
      <alignment horizontal="center" wrapText="1"/>
    </xf>
    <xf numFmtId="0" fontId="17" fillId="0" borderId="0" xfId="0" applyFont="1" applyBorder="1" applyAlignment="1">
      <alignment horizontal="center"/>
    </xf>
    <xf numFmtId="43" fontId="23" fillId="3" borderId="17" xfId="1" applyFont="1" applyFill="1" applyBorder="1" applyAlignment="1">
      <alignment horizontal="center" wrapText="1"/>
    </xf>
    <xf numFmtId="43" fontId="49" fillId="3" borderId="17" xfId="1" applyFont="1" applyFill="1" applyBorder="1" applyAlignment="1">
      <alignment horizontal="center" wrapText="1"/>
    </xf>
    <xf numFmtId="43" fontId="49" fillId="2" borderId="17" xfId="1" applyFont="1" applyFill="1" applyBorder="1" applyAlignment="1">
      <alignment horizontal="center" wrapText="1"/>
    </xf>
    <xf numFmtId="0" fontId="17" fillId="0" borderId="22" xfId="0" applyFont="1" applyBorder="1" applyAlignment="1">
      <alignment horizontal="center"/>
    </xf>
    <xf numFmtId="0" fontId="17" fillId="0" borderId="23" xfId="0" applyFont="1" applyBorder="1" applyAlignment="1">
      <alignment horizontal="center"/>
    </xf>
    <xf numFmtId="0" fontId="19" fillId="3" borderId="17" xfId="0" applyFont="1" applyFill="1" applyBorder="1" applyAlignment="1">
      <alignment horizontal="left" wrapText="1"/>
    </xf>
    <xf numFmtId="43" fontId="50" fillId="3" borderId="17" xfId="1" applyFont="1" applyFill="1" applyBorder="1" applyAlignment="1">
      <alignment horizontal="right" wrapText="1"/>
    </xf>
    <xf numFmtId="43" fontId="50" fillId="2" borderId="17" xfId="1" applyFont="1" applyFill="1" applyBorder="1" applyAlignment="1">
      <alignment horizontal="right" wrapText="1"/>
    </xf>
    <xf numFmtId="0" fontId="39" fillId="0" borderId="17" xfId="0" applyFont="1" applyBorder="1" applyAlignment="1">
      <alignment horizontal="right" wrapText="1"/>
    </xf>
    <xf numFmtId="0" fontId="17" fillId="0" borderId="17" xfId="0" applyFont="1" applyBorder="1" applyAlignment="1">
      <alignment horizontal="right" wrapText="1"/>
    </xf>
    <xf numFmtId="43" fontId="20" fillId="3" borderId="17" xfId="1" applyFont="1" applyFill="1" applyBorder="1" applyAlignment="1">
      <alignment horizontal="center" wrapText="1"/>
    </xf>
    <xf numFmtId="43" fontId="3" fillId="3" borderId="17" xfId="1" applyFont="1" applyFill="1" applyBorder="1" applyAlignment="1">
      <alignment horizontal="center" wrapText="1"/>
    </xf>
    <xf numFmtId="43" fontId="3" fillId="2" borderId="17" xfId="1" applyFont="1" applyFill="1" applyBorder="1" applyAlignment="1">
      <alignment horizontal="center" wrapText="1"/>
    </xf>
    <xf numFmtId="0" fontId="6" fillId="2" borderId="17" xfId="0" applyFont="1" applyFill="1" applyBorder="1" applyAlignment="1">
      <alignment horizontal="center"/>
    </xf>
    <xf numFmtId="0" fontId="6" fillId="2" borderId="17" xfId="0" applyFont="1" applyFill="1" applyBorder="1" applyAlignment="1">
      <alignment horizontal="left" wrapText="1"/>
    </xf>
    <xf numFmtId="0" fontId="19" fillId="3" borderId="17" xfId="0" applyFont="1" applyFill="1" applyBorder="1" applyAlignment="1">
      <alignment horizontal="right" vertical="distributed" wrapText="1"/>
    </xf>
    <xf numFmtId="0" fontId="4" fillId="3" borderId="17" xfId="0" applyFont="1" applyFill="1" applyBorder="1" applyAlignment="1">
      <alignment horizontal="left" vertical="distributed" wrapText="1"/>
    </xf>
    <xf numFmtId="0" fontId="9" fillId="3" borderId="17" xfId="0" applyFont="1" applyFill="1" applyBorder="1" applyAlignment="1">
      <alignment horizontal="right" vertical="distributed" wrapText="1"/>
    </xf>
    <xf numFmtId="43" fontId="7" fillId="2" borderId="17" xfId="1" applyFont="1" applyFill="1" applyBorder="1" applyAlignment="1">
      <alignment horizontal="right" wrapText="1"/>
    </xf>
    <xf numFmtId="0" fontId="6" fillId="3" borderId="17" xfId="0" applyFont="1" applyFill="1" applyBorder="1" applyAlignment="1">
      <alignment horizontal="center" wrapText="1"/>
    </xf>
    <xf numFmtId="0" fontId="19" fillId="2" borderId="17" xfId="0" applyFont="1" applyFill="1" applyBorder="1" applyAlignment="1">
      <alignment horizontal="right" wrapText="1"/>
    </xf>
    <xf numFmtId="0" fontId="19" fillId="2" borderId="17" xfId="0" applyFont="1" applyFill="1" applyBorder="1" applyAlignment="1">
      <alignment horizontal="left" wrapText="1"/>
    </xf>
    <xf numFmtId="0" fontId="41" fillId="2" borderId="17" xfId="0" applyFont="1" applyFill="1" applyBorder="1" applyAlignment="1">
      <alignment horizontal="left" wrapText="1"/>
    </xf>
    <xf numFmtId="43" fontId="12" fillId="2" borderId="17" xfId="1" applyFont="1" applyFill="1" applyBorder="1" applyAlignment="1">
      <alignment horizontal="center" wrapText="1"/>
    </xf>
    <xf numFmtId="43" fontId="23" fillId="3" borderId="17" xfId="1" applyFont="1" applyFill="1" applyBorder="1" applyAlignment="1">
      <alignment horizontal="left" wrapText="1"/>
    </xf>
    <xf numFmtId="43" fontId="49" fillId="3" borderId="17" xfId="1" applyFont="1" applyFill="1" applyBorder="1" applyAlignment="1">
      <alignment horizontal="left" wrapText="1"/>
    </xf>
    <xf numFmtId="43" fontId="49" fillId="2" borderId="17" xfId="1" applyFont="1" applyFill="1" applyBorder="1" applyAlignment="1">
      <alignment horizontal="left" wrapText="1"/>
    </xf>
    <xf numFmtId="0" fontId="17" fillId="0" borderId="2" xfId="0" applyFont="1" applyBorder="1" applyAlignment="1">
      <alignment horizontal="center"/>
    </xf>
    <xf numFmtId="0" fontId="17" fillId="0" borderId="3" xfId="0" applyFont="1" applyBorder="1" applyAlignment="1">
      <alignment horizontal="center"/>
    </xf>
    <xf numFmtId="0" fontId="17" fillId="0" borderId="28" xfId="0" applyFont="1" applyBorder="1" applyAlignment="1">
      <alignment horizontal="center"/>
    </xf>
    <xf numFmtId="0" fontId="17" fillId="0" borderId="29" xfId="0" applyFont="1" applyBorder="1" applyAlignment="1">
      <alignment horizontal="center"/>
    </xf>
    <xf numFmtId="43" fontId="6" fillId="3" borderId="17" xfId="1" applyFont="1" applyFill="1" applyBorder="1" applyAlignment="1"/>
    <xf numFmtId="43" fontId="52" fillId="3" borderId="17" xfId="1" applyFont="1" applyFill="1" applyBorder="1" applyAlignment="1">
      <alignment horizontal="center" wrapText="1"/>
    </xf>
    <xf numFmtId="43" fontId="27" fillId="3" borderId="17" xfId="1" applyFont="1" applyFill="1" applyBorder="1" applyAlignment="1">
      <alignment horizontal="right" wrapText="1"/>
    </xf>
    <xf numFmtId="43" fontId="23" fillId="0" borderId="17" xfId="0" applyNumberFormat="1" applyFont="1" applyBorder="1" applyAlignment="1">
      <alignment horizontal="center"/>
    </xf>
    <xf numFmtId="43" fontId="49" fillId="0" borderId="17" xfId="0" applyNumberFormat="1" applyFont="1" applyBorder="1" applyAlignment="1">
      <alignment horizontal="center"/>
    </xf>
    <xf numFmtId="43" fontId="49" fillId="2" borderId="17" xfId="0" applyNumberFormat="1" applyFont="1" applyFill="1" applyBorder="1" applyAlignment="1">
      <alignment horizontal="center"/>
    </xf>
    <xf numFmtId="43" fontId="49" fillId="0" borderId="17" xfId="0" applyNumberFormat="1" applyFont="1" applyBorder="1" applyAlignment="1">
      <alignment horizontal="center" wrapText="1"/>
    </xf>
    <xf numFmtId="0" fontId="25" fillId="0" borderId="4" xfId="0" applyFont="1" applyBorder="1" applyAlignment="1">
      <alignment horizontal="left"/>
    </xf>
    <xf numFmtId="0" fontId="25" fillId="0" borderId="5" xfId="0" applyFont="1" applyBorder="1"/>
    <xf numFmtId="0" fontId="25" fillId="0" borderId="6" xfId="0" applyFont="1" applyBorder="1"/>
    <xf numFmtId="0" fontId="6" fillId="3" borderId="17" xfId="0" applyFont="1" applyFill="1" applyBorder="1"/>
    <xf numFmtId="43" fontId="6" fillId="3" borderId="17" xfId="1" applyFont="1" applyFill="1" applyBorder="1" applyAlignment="1">
      <alignment wrapText="1"/>
    </xf>
    <xf numFmtId="43" fontId="12" fillId="3" borderId="17" xfId="1" applyFont="1" applyFill="1" applyBorder="1" applyAlignment="1"/>
    <xf numFmtId="43" fontId="7" fillId="3" borderId="17" xfId="1" applyFont="1" applyFill="1" applyBorder="1" applyAlignment="1"/>
    <xf numFmtId="43" fontId="7" fillId="2" borderId="17" xfId="1" applyFont="1" applyFill="1" applyBorder="1" applyAlignment="1"/>
    <xf numFmtId="0" fontId="25" fillId="0" borderId="9" xfId="0" applyFont="1" applyBorder="1"/>
    <xf numFmtId="0" fontId="43" fillId="3" borderId="17" xfId="0" applyFont="1" applyFill="1" applyBorder="1"/>
    <xf numFmtId="0" fontId="53" fillId="3" borderId="17" xfId="0" applyFont="1" applyFill="1" applyBorder="1" applyAlignment="1">
      <alignment horizontal="right" wrapText="1"/>
    </xf>
    <xf numFmtId="43" fontId="49" fillId="3" borderId="17" xfId="1" applyFont="1" applyFill="1" applyBorder="1" applyAlignment="1">
      <alignment wrapText="1"/>
    </xf>
    <xf numFmtId="43" fontId="49" fillId="2" borderId="17" xfId="1" applyFont="1" applyFill="1" applyBorder="1" applyAlignment="1">
      <alignment wrapText="1"/>
    </xf>
    <xf numFmtId="0" fontId="54" fillId="3" borderId="17" xfId="0" applyFont="1" applyFill="1" applyBorder="1"/>
    <xf numFmtId="0" fontId="55" fillId="3" borderId="17" xfId="0" applyFont="1" applyFill="1" applyBorder="1" applyAlignment="1">
      <alignment horizontal="right" wrapText="1"/>
    </xf>
    <xf numFmtId="43" fontId="24" fillId="3" borderId="17" xfId="1" applyFont="1" applyFill="1" applyBorder="1" applyAlignment="1">
      <alignment wrapText="1"/>
    </xf>
    <xf numFmtId="43" fontId="24" fillId="2" borderId="17" xfId="1" applyFont="1" applyFill="1" applyBorder="1" applyAlignment="1">
      <alignment wrapText="1"/>
    </xf>
    <xf numFmtId="0" fontId="25" fillId="0" borderId="34" xfId="0" applyFont="1" applyBorder="1" applyAlignment="1">
      <alignment horizontal="left"/>
    </xf>
    <xf numFmtId="0" fontId="25" fillId="0" borderId="14" xfId="0" applyFont="1" applyBorder="1"/>
    <xf numFmtId="0" fontId="25" fillId="0" borderId="15" xfId="0" applyFont="1" applyBorder="1"/>
    <xf numFmtId="0" fontId="56" fillId="0" borderId="17" xfId="0" applyFont="1" applyBorder="1" applyAlignment="1">
      <alignment horizontal="left"/>
    </xf>
    <xf numFmtId="0" fontId="6" fillId="3" borderId="0" xfId="0" applyFont="1" applyFill="1" applyAlignment="1">
      <alignment horizontal="right"/>
    </xf>
    <xf numFmtId="0" fontId="20" fillId="0" borderId="0" xfId="0" applyFont="1"/>
    <xf numFmtId="0" fontId="3" fillId="0" borderId="0" xfId="0" applyFont="1"/>
    <xf numFmtId="43" fontId="58" fillId="2" borderId="0" xfId="1" applyFont="1" applyFill="1"/>
    <xf numFmtId="0" fontId="10" fillId="0" borderId="0" xfId="0" applyFont="1" applyAlignment="1">
      <alignment horizontal="left"/>
    </xf>
    <xf numFmtId="0" fontId="10" fillId="0" borderId="0" xfId="0" applyFont="1"/>
    <xf numFmtId="0" fontId="59" fillId="3" borderId="0" xfId="0" applyFont="1" applyFill="1"/>
    <xf numFmtId="0" fontId="60" fillId="0" borderId="0" xfId="0" applyFont="1" applyAlignment="1">
      <alignment horizontal="left"/>
    </xf>
    <xf numFmtId="0" fontId="9" fillId="0" borderId="0" xfId="0" applyFont="1" applyAlignment="1">
      <alignment horizontal="left"/>
    </xf>
    <xf numFmtId="0" fontId="9" fillId="0" borderId="0" xfId="0" applyFont="1"/>
    <xf numFmtId="0" fontId="6" fillId="3" borderId="0" xfId="0" applyFont="1" applyFill="1"/>
    <xf numFmtId="0" fontId="3" fillId="2" borderId="0" xfId="0" applyFont="1" applyFill="1"/>
    <xf numFmtId="0" fontId="19" fillId="4" borderId="17" xfId="0" applyFont="1" applyFill="1" applyBorder="1" applyAlignment="1">
      <alignment horizontal="right" wrapText="1"/>
    </xf>
    <xf numFmtId="43" fontId="12" fillId="4" borderId="17" xfId="1" applyFont="1" applyFill="1" applyBorder="1" applyAlignment="1">
      <alignment horizontal="left" wrapText="1"/>
    </xf>
    <xf numFmtId="43" fontId="7" fillId="4" borderId="17" xfId="1" applyFont="1" applyFill="1" applyBorder="1" applyAlignment="1">
      <alignment horizontal="left" wrapText="1"/>
    </xf>
    <xf numFmtId="43" fontId="7" fillId="4" borderId="17" xfId="1" applyFont="1" applyFill="1" applyBorder="1" applyAlignment="1">
      <alignment horizontal="center" wrapText="1"/>
    </xf>
    <xf numFmtId="43" fontId="12" fillId="4" borderId="17" xfId="1" applyFont="1" applyFill="1" applyBorder="1" applyAlignment="1">
      <alignment horizontal="center" wrapText="1"/>
    </xf>
    <xf numFmtId="43" fontId="18" fillId="4" borderId="17" xfId="1" applyFont="1" applyFill="1" applyBorder="1" applyAlignment="1">
      <alignment horizontal="center" wrapText="1"/>
    </xf>
    <xf numFmtId="43" fontId="3" fillId="4" borderId="17" xfId="1" applyFont="1" applyFill="1" applyBorder="1" applyAlignment="1">
      <alignment horizontal="right" wrapText="1"/>
    </xf>
    <xf numFmtId="0" fontId="40" fillId="0" borderId="21" xfId="0" applyFont="1" applyBorder="1" applyAlignment="1">
      <alignment horizontal="left"/>
    </xf>
    <xf numFmtId="0" fontId="40" fillId="0" borderId="27" xfId="0" applyFont="1" applyBorder="1" applyAlignment="1">
      <alignment horizontal="left"/>
    </xf>
    <xf numFmtId="0" fontId="40" fillId="0" borderId="16" xfId="0" applyFont="1" applyBorder="1" applyAlignment="1">
      <alignment horizontal="left"/>
    </xf>
    <xf numFmtId="0" fontId="40" fillId="0" borderId="24" xfId="0" applyFont="1" applyBorder="1" applyAlignment="1">
      <alignment horizontal="left" wrapText="1"/>
    </xf>
    <xf numFmtId="0" fontId="62" fillId="0" borderId="1" xfId="0" applyFont="1" applyBorder="1" applyAlignment="1">
      <alignment horizontal="left"/>
    </xf>
    <xf numFmtId="0" fontId="62" fillId="0" borderId="16" xfId="0" applyFont="1" applyBorder="1" applyAlignment="1">
      <alignment horizontal="left"/>
    </xf>
    <xf numFmtId="0" fontId="40" fillId="0" borderId="1" xfId="0" applyFont="1" applyBorder="1" applyAlignment="1">
      <alignment horizontal="left"/>
    </xf>
    <xf numFmtId="43" fontId="32" fillId="2" borderId="17" xfId="1" applyFont="1" applyFill="1" applyBorder="1" applyAlignment="1">
      <alignment horizontal="center" wrapText="1"/>
    </xf>
    <xf numFmtId="43" fontId="35" fillId="3" borderId="17" xfId="1" applyFont="1" applyFill="1" applyBorder="1" applyAlignment="1">
      <alignment horizontal="left" wrapText="1"/>
    </xf>
    <xf numFmtId="43" fontId="2" fillId="3" borderId="17" xfId="1" applyFont="1" applyFill="1" applyBorder="1" applyAlignment="1">
      <alignment horizontal="left" wrapText="1"/>
    </xf>
    <xf numFmtId="43" fontId="48" fillId="3" borderId="17" xfId="1" applyFont="1" applyFill="1" applyBorder="1" applyAlignment="1">
      <alignment horizontal="right" wrapText="1"/>
    </xf>
    <xf numFmtId="43" fontId="32" fillId="3" borderId="17" xfId="1" applyFont="1" applyFill="1" applyBorder="1" applyAlignment="1">
      <alignment horizontal="right" wrapText="1"/>
    </xf>
    <xf numFmtId="43" fontId="8" fillId="4" borderId="17" xfId="1" applyFont="1" applyFill="1" applyBorder="1" applyAlignment="1">
      <alignment horizontal="right" wrapText="1"/>
    </xf>
    <xf numFmtId="43" fontId="38" fillId="2" borderId="0" xfId="1" applyFont="1" applyFill="1"/>
    <xf numFmtId="0" fontId="38" fillId="0" borderId="0" xfId="0" applyFont="1"/>
    <xf numFmtId="43" fontId="34" fillId="2" borderId="0" xfId="1" applyFont="1" applyFill="1"/>
    <xf numFmtId="0" fontId="12" fillId="0" borderId="17" xfId="0" applyFont="1" applyBorder="1" applyAlignment="1">
      <alignment horizontal="right" wrapText="1"/>
    </xf>
    <xf numFmtId="43" fontId="63" fillId="2" borderId="17" xfId="1" applyFont="1" applyFill="1" applyBorder="1" applyAlignment="1">
      <alignment horizontal="center" wrapText="1"/>
    </xf>
    <xf numFmtId="0" fontId="64" fillId="0" borderId="4" xfId="0" applyFont="1" applyBorder="1" applyAlignment="1">
      <alignment horizontal="left"/>
    </xf>
    <xf numFmtId="0" fontId="64" fillId="0" borderId="5" xfId="0" applyFont="1" applyBorder="1" applyAlignment="1">
      <alignment horizontal="center"/>
    </xf>
    <xf numFmtId="0" fontId="64" fillId="2" borderId="5" xfId="0" applyFont="1" applyFill="1" applyBorder="1" applyAlignment="1">
      <alignment horizontal="center"/>
    </xf>
    <xf numFmtId="0" fontId="65" fillId="0" borderId="5" xfId="0" applyFont="1" applyBorder="1" applyAlignment="1">
      <alignment horizontal="center"/>
    </xf>
    <xf numFmtId="0" fontId="65" fillId="0" borderId="6" xfId="0" applyFont="1" applyBorder="1" applyAlignment="1">
      <alignment horizontal="center"/>
    </xf>
    <xf numFmtId="0" fontId="10" fillId="0" borderId="7" xfId="0" applyFont="1" applyBorder="1" applyAlignment="1">
      <alignment horizontal="left"/>
    </xf>
    <xf numFmtId="0" fontId="10" fillId="0" borderId="8" xfId="0" applyFont="1" applyBorder="1"/>
    <xf numFmtId="0" fontId="10" fillId="0" borderId="8" xfId="0" applyFont="1" applyBorder="1" applyAlignment="1">
      <alignment horizontal="center"/>
    </xf>
    <xf numFmtId="0" fontId="10" fillId="0" borderId="8" xfId="0" applyFont="1" applyBorder="1" applyAlignment="1">
      <alignment horizontal="left"/>
    </xf>
    <xf numFmtId="0" fontId="66" fillId="0" borderId="8" xfId="0" applyFont="1" applyBorder="1" applyAlignment="1">
      <alignment horizontal="center"/>
    </xf>
    <xf numFmtId="0" fontId="64" fillId="0" borderId="0" xfId="0" applyFont="1" applyBorder="1" applyAlignment="1">
      <alignment horizontal="center"/>
    </xf>
    <xf numFmtId="0" fontId="64" fillId="2" borderId="0" xfId="0" applyFont="1" applyFill="1" applyBorder="1" applyAlignment="1">
      <alignment horizontal="center"/>
    </xf>
    <xf numFmtId="0" fontId="65" fillId="0" borderId="0" xfId="0" applyFont="1" applyBorder="1" applyAlignment="1">
      <alignment horizontal="center"/>
    </xf>
    <xf numFmtId="0" fontId="65" fillId="0" borderId="9" xfId="0" applyFont="1" applyBorder="1" applyAlignment="1">
      <alignment horizontal="center"/>
    </xf>
    <xf numFmtId="0" fontId="10" fillId="0" borderId="10" xfId="0" applyFont="1" applyBorder="1" applyAlignment="1">
      <alignment horizontal="left"/>
    </xf>
    <xf numFmtId="0" fontId="10" fillId="0" borderId="11" xfId="0" applyFont="1" applyBorder="1"/>
    <xf numFmtId="0" fontId="10" fillId="0" borderId="11" xfId="0" applyFont="1" applyBorder="1" applyAlignment="1">
      <alignment horizontal="center"/>
    </xf>
    <xf numFmtId="0" fontId="10" fillId="0" borderId="11" xfId="0" applyFont="1" applyBorder="1" applyAlignment="1">
      <alignment horizontal="left"/>
    </xf>
    <xf numFmtId="0" fontId="66" fillId="0" borderId="11" xfId="0" applyFont="1" applyBorder="1" applyAlignment="1">
      <alignment horizontal="center"/>
    </xf>
    <xf numFmtId="43" fontId="67" fillId="3" borderId="0" xfId="1" applyFont="1" applyFill="1" applyBorder="1" applyAlignment="1">
      <alignment horizontal="right"/>
    </xf>
    <xf numFmtId="43" fontId="67" fillId="3" borderId="9" xfId="1" applyFont="1" applyFill="1" applyBorder="1" applyAlignment="1">
      <alignment horizontal="right"/>
    </xf>
    <xf numFmtId="43" fontId="68" fillId="3" borderId="0" xfId="1" applyFont="1" applyFill="1" applyBorder="1" applyAlignment="1">
      <alignment horizontal="right"/>
    </xf>
    <xf numFmtId="43" fontId="68" fillId="2" borderId="0" xfId="1" applyFont="1" applyFill="1" applyBorder="1" applyAlignment="1">
      <alignment horizontal="right"/>
    </xf>
    <xf numFmtId="43" fontId="68" fillId="3" borderId="11" xfId="1" applyFont="1" applyFill="1" applyBorder="1" applyAlignment="1">
      <alignment horizontal="right"/>
    </xf>
    <xf numFmtId="0" fontId="69" fillId="3" borderId="11" xfId="0" applyFont="1" applyFill="1" applyBorder="1" applyAlignment="1">
      <alignment wrapText="1"/>
    </xf>
    <xf numFmtId="0" fontId="10" fillId="0" borderId="13" xfId="0" applyFont="1" applyBorder="1" applyAlignment="1">
      <alignment horizontal="left"/>
    </xf>
    <xf numFmtId="0" fontId="64" fillId="0" borderId="13" xfId="0" applyFont="1" applyBorder="1" applyAlignment="1">
      <alignment horizontal="center"/>
    </xf>
    <xf numFmtId="0" fontId="64" fillId="0" borderId="14" xfId="0" applyFont="1" applyBorder="1" applyAlignment="1">
      <alignment horizontal="center"/>
    </xf>
    <xf numFmtId="43" fontId="68" fillId="3" borderId="14" xfId="1" applyFont="1" applyFill="1" applyBorder="1" applyAlignment="1">
      <alignment horizontal="right"/>
    </xf>
    <xf numFmtId="43" fontId="68" fillId="2" borderId="14" xfId="1" applyFont="1" applyFill="1" applyBorder="1" applyAlignment="1">
      <alignment horizontal="right"/>
    </xf>
    <xf numFmtId="43" fontId="67" fillId="3" borderId="14" xfId="1" applyFont="1" applyFill="1" applyBorder="1" applyAlignment="1">
      <alignment horizontal="right"/>
    </xf>
    <xf numFmtId="43" fontId="67" fillId="3" borderId="15" xfId="1" applyFont="1" applyFill="1" applyBorder="1" applyAlignment="1">
      <alignment horizontal="right"/>
    </xf>
    <xf numFmtId="0" fontId="10" fillId="0" borderId="16" xfId="0" applyFont="1" applyBorder="1" applyAlignment="1">
      <alignment horizontal="left" wrapText="1"/>
    </xf>
    <xf numFmtId="0" fontId="10" fillId="0" borderId="0" xfId="0" applyFont="1" applyBorder="1" applyAlignment="1">
      <alignment wrapText="1"/>
    </xf>
    <xf numFmtId="0" fontId="10" fillId="0" borderId="0" xfId="0" applyFont="1" applyBorder="1" applyAlignment="1">
      <alignment horizontal="left"/>
    </xf>
    <xf numFmtId="0" fontId="0" fillId="0" borderId="0" xfId="0" applyAlignment="1">
      <alignment horizontal="center"/>
    </xf>
    <xf numFmtId="0" fontId="70" fillId="3" borderId="16" xfId="0" applyFont="1" applyFill="1" applyBorder="1" applyAlignment="1">
      <alignment horizontal="left" vertical="center" wrapText="1"/>
    </xf>
    <xf numFmtId="0" fontId="70" fillId="3" borderId="0" xfId="0" applyFont="1" applyFill="1" applyBorder="1" applyAlignment="1">
      <alignment horizontal="left" vertical="center" wrapText="1"/>
    </xf>
    <xf numFmtId="0" fontId="70" fillId="3" borderId="9" xfId="0" applyFont="1" applyFill="1" applyBorder="1" applyAlignment="1">
      <alignment horizontal="left" vertical="center" wrapText="1"/>
    </xf>
    <xf numFmtId="0" fontId="61" fillId="0" borderId="0" xfId="0" applyFont="1" applyAlignment="1">
      <alignment horizontal="center"/>
    </xf>
    <xf numFmtId="0" fontId="10" fillId="0" borderId="16" xfId="0" applyFont="1" applyBorder="1" applyAlignment="1">
      <alignment horizontal="justify" vertical="justify" wrapText="1"/>
    </xf>
    <xf numFmtId="0" fontId="10" fillId="0" borderId="0" xfId="0" applyFont="1" applyBorder="1" applyAlignment="1">
      <alignment horizontal="justify" vertical="justify" wrapText="1"/>
    </xf>
    <xf numFmtId="0" fontId="10" fillId="0" borderId="9" xfId="0" applyFont="1" applyBorder="1" applyAlignment="1">
      <alignment horizontal="justify" vertical="justify" wrapText="1"/>
    </xf>
    <xf numFmtId="0" fontId="10" fillId="0" borderId="12" xfId="0" applyFont="1" applyBorder="1" applyAlignment="1">
      <alignment wrapText="1"/>
    </xf>
    <xf numFmtId="0" fontId="10" fillId="0" borderId="13" xfId="0" applyFont="1" applyBorder="1" applyAlignment="1">
      <alignment wrapText="1"/>
    </xf>
    <xf numFmtId="0" fontId="10" fillId="0" borderId="16" xfId="0" applyFont="1" applyBorder="1" applyAlignment="1">
      <alignment vertical="center" wrapText="1"/>
    </xf>
    <xf numFmtId="0" fontId="10" fillId="0" borderId="0" xfId="0" applyFont="1" applyBorder="1" applyAlignment="1">
      <alignment vertical="center" wrapText="1"/>
    </xf>
    <xf numFmtId="0" fontId="10" fillId="0" borderId="9" xfId="0" applyFont="1" applyBorder="1" applyAlignment="1">
      <alignment vertical="center" wrapText="1"/>
    </xf>
    <xf numFmtId="0" fontId="70" fillId="3" borderId="1" xfId="0" applyFont="1" applyFill="1" applyBorder="1" applyAlignment="1">
      <alignment horizontal="center" vertical="center" wrapText="1"/>
    </xf>
    <xf numFmtId="0" fontId="70" fillId="3" borderId="2" xfId="0" applyFont="1" applyFill="1" applyBorder="1" applyAlignment="1">
      <alignment horizontal="center" vertical="center" wrapText="1"/>
    </xf>
    <xf numFmtId="0" fontId="70" fillId="3" borderId="3" xfId="0" applyFont="1" applyFill="1" applyBorder="1" applyAlignment="1">
      <alignment horizontal="center" vertical="center" wrapText="1"/>
    </xf>
    <xf numFmtId="0" fontId="72" fillId="0" borderId="1" xfId="0" applyFont="1" applyBorder="1" applyAlignment="1">
      <alignment horizontal="center" vertical="center"/>
    </xf>
    <xf numFmtId="0" fontId="72" fillId="0" borderId="2" xfId="0" applyFont="1" applyBorder="1" applyAlignment="1">
      <alignment horizontal="center" vertical="center"/>
    </xf>
    <xf numFmtId="0" fontId="72" fillId="0" borderId="3" xfId="0" applyFont="1" applyBorder="1" applyAlignment="1">
      <alignment horizontal="center" vertical="center"/>
    </xf>
    <xf numFmtId="0" fontId="10" fillId="0" borderId="34" xfId="0" applyFont="1" applyBorder="1" applyAlignment="1">
      <alignment horizontal="center"/>
    </xf>
    <xf numFmtId="0" fontId="10" fillId="0" borderId="14" xfId="0" applyFont="1" applyBorder="1" applyAlignment="1">
      <alignment horizontal="center"/>
    </xf>
    <xf numFmtId="0" fontId="10" fillId="0" borderId="15" xfId="0" applyFont="1" applyBorder="1" applyAlignment="1">
      <alignment horizontal="center"/>
    </xf>
    <xf numFmtId="0" fontId="71" fillId="0" borderId="1" xfId="0" applyFont="1" applyBorder="1" applyAlignment="1">
      <alignment vertical="center" wrapText="1"/>
    </xf>
    <xf numFmtId="0" fontId="71" fillId="0" borderId="2" xfId="0" applyFont="1" applyBorder="1" applyAlignment="1">
      <alignment vertical="center" wrapText="1"/>
    </xf>
    <xf numFmtId="0" fontId="71" fillId="0" borderId="3" xfId="0" applyFont="1" applyBorder="1" applyAlignment="1">
      <alignment vertical="center" wrapText="1"/>
    </xf>
    <xf numFmtId="0" fontId="17" fillId="0" borderId="18" xfId="0" applyFont="1" applyBorder="1" applyAlignment="1">
      <alignment horizontal="left"/>
    </xf>
    <xf numFmtId="0" fontId="17" fillId="0" borderId="19" xfId="0" applyFont="1" applyBorder="1" applyAlignment="1">
      <alignment horizontal="center"/>
    </xf>
    <xf numFmtId="0" fontId="17" fillId="0" borderId="20" xfId="0" applyFont="1" applyBorder="1" applyAlignment="1">
      <alignment horizontal="center"/>
    </xf>
    <xf numFmtId="0" fontId="14" fillId="3" borderId="17" xfId="0" applyFont="1" applyFill="1" applyBorder="1" applyAlignment="1">
      <alignment horizontal="left"/>
    </xf>
    <xf numFmtId="43" fontId="12" fillId="3" borderId="17" xfId="1" applyFont="1" applyFill="1" applyBorder="1" applyAlignment="1">
      <alignment horizontal="center" wrapText="1"/>
    </xf>
    <xf numFmtId="43" fontId="15" fillId="2" borderId="17" xfId="1" applyFont="1" applyFill="1" applyBorder="1" applyAlignment="1">
      <alignment horizontal="center" wrapText="1"/>
    </xf>
    <xf numFmtId="43" fontId="15" fillId="3" borderId="17" xfId="1" applyFont="1" applyFill="1" applyBorder="1" applyAlignment="1">
      <alignment horizontal="center" wrapText="1"/>
    </xf>
    <xf numFmtId="0" fontId="57" fillId="0" borderId="1" xfId="0" applyFont="1" applyBorder="1" applyAlignment="1">
      <alignment horizontal="left"/>
    </xf>
    <xf numFmtId="0" fontId="57" fillId="0" borderId="2" xfId="0" applyFont="1" applyBorder="1" applyAlignment="1">
      <alignment horizontal="left"/>
    </xf>
    <xf numFmtId="0" fontId="57" fillId="0" borderId="3" xfId="0" applyFont="1" applyBorder="1" applyAlignment="1">
      <alignment horizontal="left"/>
    </xf>
    <xf numFmtId="0" fontId="21" fillId="0" borderId="1" xfId="0" applyFont="1" applyBorder="1" applyAlignment="1">
      <alignment horizontal="center"/>
    </xf>
    <xf numFmtId="0" fontId="21" fillId="0" borderId="2" xfId="0" applyFont="1" applyBorder="1" applyAlignment="1">
      <alignment horizontal="center"/>
    </xf>
    <xf numFmtId="0" fontId="21" fillId="0" borderId="3" xfId="0" applyFont="1" applyBorder="1" applyAlignment="1">
      <alignment horizontal="center"/>
    </xf>
    <xf numFmtId="0" fontId="27" fillId="3" borderId="17" xfId="0" applyFont="1" applyFill="1" applyBorder="1" applyAlignment="1">
      <alignment horizontal="left" wrapText="1"/>
    </xf>
    <xf numFmtId="0" fontId="40" fillId="0" borderId="31" xfId="0" applyFont="1" applyBorder="1" applyAlignment="1">
      <alignment horizontal="left" vertical="center" textRotation="90" wrapText="1"/>
    </xf>
    <xf numFmtId="43" fontId="29" fillId="3" borderId="17" xfId="1" applyFont="1" applyFill="1" applyBorder="1" applyAlignment="1">
      <alignment horizontal="center" wrapText="1"/>
    </xf>
    <xf numFmtId="0" fontId="9" fillId="3" borderId="17" xfId="0" applyFont="1" applyFill="1" applyBorder="1" applyAlignment="1">
      <alignment horizontal="right" vertical="center" wrapText="1"/>
    </xf>
    <xf numFmtId="0" fontId="6" fillId="3" borderId="17" xfId="0" applyFont="1" applyFill="1" applyBorder="1" applyAlignment="1">
      <alignment horizontal="center" vertical="center"/>
    </xf>
    <xf numFmtId="0" fontId="25" fillId="0" borderId="1" xfId="0" applyFont="1" applyBorder="1" applyAlignment="1">
      <alignment horizontal="center"/>
    </xf>
    <xf numFmtId="0" fontId="25" fillId="0" borderId="2" xfId="0" applyFont="1" applyBorder="1" applyAlignment="1">
      <alignment horizontal="center"/>
    </xf>
    <xf numFmtId="0" fontId="25" fillId="0" borderId="3" xfId="0" applyFont="1" applyBorder="1" applyAlignment="1">
      <alignment horizontal="center"/>
    </xf>
    <xf numFmtId="0" fontId="51" fillId="0" borderId="17" xfId="0" applyFont="1" applyBorder="1" applyAlignment="1">
      <alignment horizontal="center" vertical="center" wrapText="1"/>
    </xf>
  </cellXfs>
  <cellStyles count="2">
    <cellStyle name="Normalno" xfId="0" builtinId="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LIA%206/IZVJE&#352;TAJI/FINANACIJSKI%20PLAN,%20REBALANS%202023/IZVR&#352;ENJE%20FINANCIJSKOG%20PLANA%20ZA%2001.01-31.12.2023.%20g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 PL.-ZVRŠ. 01-12 2023"/>
      <sheetName val="List1"/>
      <sheetName val="Doznake d."/>
      <sheetName val="st. blag., žiro r. 01-09 2023"/>
      <sheetName val="invent. nefin. imovine 01-09 "/>
      <sheetName val="dozvole 01.-09. 2023"/>
      <sheetName val="članarine 2022"/>
      <sheetName val="16110-IRA, otvorene st."/>
      <sheetName val="24250-URA, otvorene st."/>
    </sheetNames>
    <sheetDataSet>
      <sheetData sheetId="0"/>
      <sheetData sheetId="1"/>
      <sheetData sheetId="2">
        <row r="16">
          <cell r="C16">
            <v>31939.64</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36"/>
  <sheetViews>
    <sheetView tabSelected="1" topLeftCell="A399" zoomScaleNormal="100" workbookViewId="0">
      <selection activeCell="K34" sqref="K34"/>
    </sheetView>
  </sheetViews>
  <sheetFormatPr defaultRowHeight="12.75" x14ac:dyDescent="0.2"/>
  <cols>
    <col min="1" max="1" width="8.28515625" style="216" customWidth="1"/>
    <col min="2" max="2" width="2.140625" style="217" customWidth="1"/>
    <col min="3" max="3" width="3.28515625" style="217" customWidth="1"/>
    <col min="4" max="4" width="3.140625" style="218" customWidth="1"/>
    <col min="5" max="5" width="47.28515625" style="212" customWidth="1"/>
    <col min="6" max="6" width="13.5703125" style="213" customWidth="1"/>
    <col min="7" max="7" width="12.42578125" style="214" customWidth="1"/>
    <col min="8" max="8" width="14" style="213" customWidth="1"/>
    <col min="9" max="9" width="12.42578125" style="223" customWidth="1"/>
    <col min="10" max="11" width="12.42578125" style="214" customWidth="1"/>
  </cols>
  <sheetData>
    <row r="2" spans="1:11" ht="24.75" customHeight="1" x14ac:dyDescent="0.2">
      <c r="A2" s="300" t="s">
        <v>0</v>
      </c>
      <c r="B2" s="301"/>
      <c r="C2" s="301"/>
      <c r="D2" s="301"/>
      <c r="E2" s="301"/>
      <c r="F2" s="301"/>
      <c r="G2" s="301"/>
      <c r="H2" s="301"/>
      <c r="I2" s="301"/>
      <c r="J2" s="301"/>
      <c r="K2" s="302"/>
    </row>
    <row r="3" spans="1:11" ht="9" customHeight="1" x14ac:dyDescent="0.2">
      <c r="A3" s="249"/>
      <c r="B3" s="250"/>
      <c r="C3" s="250"/>
      <c r="D3" s="250"/>
      <c r="E3" s="250"/>
      <c r="F3" s="250"/>
      <c r="G3" s="250"/>
      <c r="H3" s="250"/>
      <c r="I3" s="251"/>
      <c r="J3" s="252"/>
      <c r="K3" s="253"/>
    </row>
    <row r="4" spans="1:11" ht="24.75" customHeight="1" x14ac:dyDescent="0.2">
      <c r="A4" s="254" t="s">
        <v>1</v>
      </c>
      <c r="B4" s="255"/>
      <c r="C4" s="256"/>
      <c r="D4" s="256"/>
      <c r="E4" s="257" t="s">
        <v>2</v>
      </c>
      <c r="F4" s="258"/>
      <c r="G4" s="259"/>
      <c r="H4" s="259"/>
      <c r="I4" s="260"/>
      <c r="J4" s="261"/>
      <c r="K4" s="262"/>
    </row>
    <row r="5" spans="1:11" ht="24.75" customHeight="1" x14ac:dyDescent="0.2">
      <c r="A5" s="263" t="s">
        <v>3</v>
      </c>
      <c r="B5" s="264"/>
      <c r="C5" s="265"/>
      <c r="D5" s="265"/>
      <c r="E5" s="266" t="s">
        <v>4</v>
      </c>
      <c r="F5" s="267"/>
      <c r="G5" s="259"/>
      <c r="H5" s="259"/>
      <c r="I5" s="260"/>
      <c r="J5" s="268"/>
      <c r="K5" s="269"/>
    </row>
    <row r="6" spans="1:11" ht="24.75" customHeight="1" x14ac:dyDescent="0.2">
      <c r="A6" s="263" t="s">
        <v>5</v>
      </c>
      <c r="B6" s="264"/>
      <c r="C6" s="265"/>
      <c r="D6" s="265"/>
      <c r="E6" s="266" t="s">
        <v>6</v>
      </c>
      <c r="F6" s="267"/>
      <c r="G6" s="259"/>
      <c r="H6" s="270"/>
      <c r="I6" s="271"/>
      <c r="J6" s="261"/>
      <c r="K6" s="262"/>
    </row>
    <row r="7" spans="1:11" ht="24.75" customHeight="1" x14ac:dyDescent="0.2">
      <c r="A7" s="263" t="s">
        <v>7</v>
      </c>
      <c r="B7" s="264"/>
      <c r="C7" s="264"/>
      <c r="D7" s="265"/>
      <c r="E7" s="266" t="s">
        <v>8</v>
      </c>
      <c r="F7" s="267"/>
      <c r="G7" s="259"/>
      <c r="H7" s="259"/>
      <c r="I7" s="260"/>
      <c r="J7" s="268"/>
      <c r="K7" s="269"/>
    </row>
    <row r="8" spans="1:11" ht="24.75" customHeight="1" x14ac:dyDescent="0.2">
      <c r="A8" s="263"/>
      <c r="B8" s="265"/>
      <c r="C8" s="265"/>
      <c r="D8" s="265"/>
      <c r="E8" s="266" t="s">
        <v>9</v>
      </c>
      <c r="F8" s="272"/>
      <c r="G8" s="259"/>
      <c r="H8" s="270"/>
      <c r="I8" s="271"/>
      <c r="J8" s="261"/>
      <c r="K8" s="262"/>
    </row>
    <row r="9" spans="1:11" ht="24.75" customHeight="1" x14ac:dyDescent="0.2">
      <c r="A9" s="263" t="s">
        <v>10</v>
      </c>
      <c r="B9" s="264"/>
      <c r="C9" s="265"/>
      <c r="D9" s="265"/>
      <c r="E9" s="266">
        <v>93459</v>
      </c>
      <c r="F9" s="267"/>
      <c r="G9" s="259"/>
      <c r="H9" s="259"/>
      <c r="I9" s="260"/>
      <c r="J9" s="268"/>
      <c r="K9" s="269"/>
    </row>
    <row r="10" spans="1:11" ht="24.75" customHeight="1" x14ac:dyDescent="0.2">
      <c r="A10" s="263" t="s">
        <v>11</v>
      </c>
      <c r="B10" s="264"/>
      <c r="C10" s="264"/>
      <c r="D10" s="273"/>
      <c r="E10" s="266" t="s">
        <v>12</v>
      </c>
      <c r="F10" s="267"/>
      <c r="G10" s="259"/>
      <c r="H10" s="270"/>
      <c r="I10" s="271"/>
      <c r="J10" s="261"/>
      <c r="K10" s="262"/>
    </row>
    <row r="11" spans="1:11" ht="24.75" customHeight="1" x14ac:dyDescent="0.2">
      <c r="A11" s="263" t="s">
        <v>13</v>
      </c>
      <c r="B11" s="264"/>
      <c r="C11" s="265"/>
      <c r="D11" s="265"/>
      <c r="E11" s="266">
        <v>27403903291</v>
      </c>
      <c r="F11" s="267"/>
      <c r="G11" s="259"/>
      <c r="H11" s="259"/>
      <c r="I11" s="260"/>
      <c r="J11" s="261"/>
      <c r="K11" s="262"/>
    </row>
    <row r="12" spans="1:11" ht="24.75" customHeight="1" x14ac:dyDescent="0.2">
      <c r="A12" s="263" t="s">
        <v>14</v>
      </c>
      <c r="B12" s="264"/>
      <c r="C12" s="264"/>
      <c r="D12" s="273"/>
      <c r="E12" s="266">
        <v>21</v>
      </c>
      <c r="F12" s="267"/>
      <c r="G12" s="259"/>
      <c r="H12" s="259"/>
      <c r="I12" s="260"/>
      <c r="J12" s="261"/>
      <c r="K12" s="262"/>
    </row>
    <row r="13" spans="1:11" ht="24.75" customHeight="1" x14ac:dyDescent="0.2">
      <c r="A13" s="292" t="s">
        <v>15</v>
      </c>
      <c r="B13" s="293"/>
      <c r="C13" s="293"/>
      <c r="D13" s="293"/>
      <c r="E13" s="274" t="s">
        <v>16</v>
      </c>
      <c r="F13" s="275"/>
      <c r="G13" s="276"/>
      <c r="H13" s="277"/>
      <c r="I13" s="278"/>
      <c r="J13" s="279"/>
      <c r="K13" s="280"/>
    </row>
    <row r="14" spans="1:11" ht="12" customHeight="1" x14ac:dyDescent="0.2">
      <c r="A14" s="281"/>
      <c r="B14" s="282"/>
      <c r="C14" s="282"/>
      <c r="D14" s="282"/>
      <c r="E14" s="283"/>
      <c r="F14" s="259"/>
      <c r="G14" s="259"/>
      <c r="H14" s="270"/>
      <c r="I14" s="271"/>
      <c r="J14" s="268"/>
      <c r="K14" s="269"/>
    </row>
    <row r="15" spans="1:11" ht="24.75" customHeight="1" x14ac:dyDescent="0.2">
      <c r="A15" s="297" t="s">
        <v>17</v>
      </c>
      <c r="B15" s="298"/>
      <c r="C15" s="298"/>
      <c r="D15" s="298"/>
      <c r="E15" s="298"/>
      <c r="F15" s="298"/>
      <c r="G15" s="298"/>
      <c r="H15" s="298"/>
      <c r="I15" s="298"/>
      <c r="J15" s="298"/>
      <c r="K15" s="299"/>
    </row>
    <row r="16" spans="1:11" ht="15" customHeight="1" x14ac:dyDescent="0.2">
      <c r="A16" s="285"/>
      <c r="B16" s="286"/>
      <c r="C16" s="286"/>
      <c r="D16" s="286"/>
      <c r="E16" s="286"/>
      <c r="F16" s="286"/>
      <c r="G16" s="286"/>
      <c r="H16" s="286"/>
      <c r="I16" s="286"/>
      <c r="J16" s="286"/>
      <c r="K16" s="287"/>
    </row>
    <row r="17" spans="1:11" ht="18" customHeight="1" x14ac:dyDescent="0.2">
      <c r="A17" s="294" t="s">
        <v>18</v>
      </c>
      <c r="B17" s="295"/>
      <c r="C17" s="295"/>
      <c r="D17" s="295"/>
      <c r="E17" s="295"/>
      <c r="F17" s="295"/>
      <c r="G17" s="295"/>
      <c r="H17" s="295"/>
      <c r="I17" s="295"/>
      <c r="J17" s="295"/>
      <c r="K17" s="296"/>
    </row>
    <row r="18" spans="1:11" ht="38.25" customHeight="1" x14ac:dyDescent="0.2">
      <c r="A18" s="289" t="s">
        <v>19</v>
      </c>
      <c r="B18" s="290"/>
      <c r="C18" s="290"/>
      <c r="D18" s="290"/>
      <c r="E18" s="290"/>
      <c r="F18" s="290"/>
      <c r="G18" s="290"/>
      <c r="H18" s="290"/>
      <c r="I18" s="290"/>
      <c r="J18" s="290"/>
      <c r="K18" s="291"/>
    </row>
    <row r="19" spans="1:11" ht="54" customHeight="1" x14ac:dyDescent="0.2">
      <c r="A19" s="289" t="s">
        <v>20</v>
      </c>
      <c r="B19" s="290"/>
      <c r="C19" s="290"/>
      <c r="D19" s="290"/>
      <c r="E19" s="290"/>
      <c r="F19" s="290"/>
      <c r="G19" s="290"/>
      <c r="H19" s="290"/>
      <c r="I19" s="290"/>
      <c r="J19" s="290"/>
      <c r="K19" s="291"/>
    </row>
    <row r="20" spans="1:11" s="284" customFormat="1" ht="51" customHeight="1" x14ac:dyDescent="0.2">
      <c r="A20" s="289" t="s">
        <v>21</v>
      </c>
      <c r="B20" s="290"/>
      <c r="C20" s="290"/>
      <c r="D20" s="290"/>
      <c r="E20" s="290"/>
      <c r="F20" s="290"/>
      <c r="G20" s="290"/>
      <c r="H20" s="290"/>
      <c r="I20" s="290"/>
      <c r="J20" s="290"/>
      <c r="K20" s="291"/>
    </row>
    <row r="21" spans="1:11" ht="15.75" customHeight="1" x14ac:dyDescent="0.2">
      <c r="A21" s="303"/>
      <c r="B21" s="304"/>
      <c r="C21" s="304"/>
      <c r="D21" s="304"/>
      <c r="E21" s="304"/>
      <c r="F21" s="304"/>
      <c r="G21" s="304"/>
      <c r="H21" s="304"/>
      <c r="I21" s="304"/>
      <c r="J21" s="304"/>
      <c r="K21" s="305"/>
    </row>
    <row r="22" spans="1:11" s="4" customFormat="1" ht="24" customHeight="1" x14ac:dyDescent="0.2">
      <c r="A22" s="306" t="s">
        <v>328</v>
      </c>
      <c r="B22" s="307"/>
      <c r="C22" s="307"/>
      <c r="D22" s="307"/>
      <c r="E22" s="308"/>
      <c r="F22" s="1" t="s">
        <v>22</v>
      </c>
      <c r="G22" s="2" t="s">
        <v>22</v>
      </c>
      <c r="H22" s="1" t="s">
        <v>23</v>
      </c>
      <c r="I22" s="3" t="s">
        <v>23</v>
      </c>
      <c r="J22" s="3" t="s">
        <v>24</v>
      </c>
      <c r="K22" s="3" t="s">
        <v>25</v>
      </c>
    </row>
    <row r="23" spans="1:11" s="4" customFormat="1" ht="12.75" customHeight="1" x14ac:dyDescent="0.2">
      <c r="A23" s="309" t="s">
        <v>26</v>
      </c>
      <c r="B23" s="310" t="s">
        <v>27</v>
      </c>
      <c r="C23" s="311" t="s">
        <v>28</v>
      </c>
      <c r="D23" s="312" t="s">
        <v>29</v>
      </c>
      <c r="E23" s="312"/>
      <c r="F23" s="313" t="s">
        <v>30</v>
      </c>
      <c r="G23" s="5" t="s">
        <v>31</v>
      </c>
      <c r="H23" s="1" t="s">
        <v>30</v>
      </c>
      <c r="I23" s="314" t="s">
        <v>31</v>
      </c>
      <c r="J23" s="315" t="s">
        <v>31</v>
      </c>
      <c r="K23" s="315" t="s">
        <v>31</v>
      </c>
    </row>
    <row r="24" spans="1:11" s="4" customFormat="1" ht="14.25" customHeight="1" x14ac:dyDescent="0.2">
      <c r="A24" s="309"/>
      <c r="B24" s="310"/>
      <c r="C24" s="311"/>
      <c r="D24" s="312"/>
      <c r="E24" s="312"/>
      <c r="F24" s="313"/>
      <c r="G24" s="6">
        <v>7.5345000000000004</v>
      </c>
      <c r="H24" s="1">
        <v>7.5345000000000004</v>
      </c>
      <c r="I24" s="314"/>
      <c r="J24" s="315"/>
      <c r="K24" s="315"/>
    </row>
    <row r="25" spans="1:11" s="4" customFormat="1" ht="15" customHeight="1" x14ac:dyDescent="0.2">
      <c r="A25" s="231">
        <v>33120</v>
      </c>
      <c r="B25" s="7">
        <v>0</v>
      </c>
      <c r="C25" s="8">
        <v>0</v>
      </c>
      <c r="D25" s="9" t="s">
        <v>32</v>
      </c>
      <c r="E25" s="10" t="s">
        <v>33</v>
      </c>
      <c r="F25" s="11">
        <v>1900000</v>
      </c>
      <c r="G25" s="12">
        <v>252173.3359877895</v>
      </c>
      <c r="H25" s="11">
        <f t="shared" ref="H25:H41" si="0">I25*$H$24</f>
        <v>1858413.7342050001</v>
      </c>
      <c r="I25" s="13">
        <v>246653.89</v>
      </c>
      <c r="J25" s="13">
        <v>272324.95</v>
      </c>
      <c r="K25" s="13">
        <v>271013.83</v>
      </c>
    </row>
    <row r="26" spans="1:11" s="4" customFormat="1" ht="15" customHeight="1" x14ac:dyDescent="0.2">
      <c r="A26" s="231"/>
      <c r="B26" s="7"/>
      <c r="C26" s="8"/>
      <c r="D26" s="9"/>
      <c r="E26" s="10"/>
      <c r="F26" s="11"/>
      <c r="G26" s="12"/>
      <c r="H26" s="11"/>
      <c r="I26" s="13"/>
      <c r="J26" s="13"/>
      <c r="K26" s="13"/>
    </row>
    <row r="27" spans="1:11" s="4" customFormat="1" ht="15" customHeight="1" x14ac:dyDescent="0.2">
      <c r="A27" s="116">
        <v>32110</v>
      </c>
      <c r="B27" s="15">
        <v>0</v>
      </c>
      <c r="C27" s="16">
        <v>0</v>
      </c>
      <c r="D27" s="9" t="s">
        <v>34</v>
      </c>
      <c r="E27" s="10" t="s">
        <v>35</v>
      </c>
      <c r="F27" s="17">
        <v>192000</v>
      </c>
      <c r="G27" s="18">
        <v>25482.7792156082</v>
      </c>
      <c r="H27" s="11">
        <f t="shared" si="0"/>
        <v>19251.777675000001</v>
      </c>
      <c r="I27" s="19">
        <v>2555.15</v>
      </c>
      <c r="J27" s="18">
        <v>25482.7792156082</v>
      </c>
      <c r="K27" s="18">
        <v>20805.62</v>
      </c>
    </row>
    <row r="28" spans="1:11" s="4" customFormat="1" ht="15" customHeight="1" x14ac:dyDescent="0.2">
      <c r="A28" s="116"/>
      <c r="B28" s="15"/>
      <c r="C28" s="16"/>
      <c r="D28" s="9"/>
      <c r="E28" s="10"/>
      <c r="F28" s="17"/>
      <c r="G28" s="18"/>
      <c r="H28" s="11"/>
      <c r="I28" s="19"/>
      <c r="J28" s="18"/>
      <c r="K28" s="18"/>
    </row>
    <row r="29" spans="1:11" s="4" customFormat="1" ht="15" customHeight="1" x14ac:dyDescent="0.2">
      <c r="A29" s="116" t="s">
        <v>36</v>
      </c>
      <c r="B29" s="15">
        <v>0</v>
      </c>
      <c r="C29" s="16">
        <v>0</v>
      </c>
      <c r="D29" s="9" t="s">
        <v>37</v>
      </c>
      <c r="E29" s="10" t="s">
        <v>38</v>
      </c>
      <c r="F29" s="17">
        <v>450000</v>
      </c>
      <c r="G29" s="18">
        <v>59725.263786581723</v>
      </c>
      <c r="H29" s="11">
        <f t="shared" si="0"/>
        <v>618686.42610000004</v>
      </c>
      <c r="I29" s="19">
        <f>64766.48+17347.32</f>
        <v>82113.8</v>
      </c>
      <c r="J29" s="5">
        <v>82113.8</v>
      </c>
      <c r="K29" s="5">
        <f>65336.48+17347.32</f>
        <v>82683.8</v>
      </c>
    </row>
    <row r="30" spans="1:11" s="4" customFormat="1" ht="15" customHeight="1" x14ac:dyDescent="0.2">
      <c r="A30" s="116"/>
      <c r="B30" s="15"/>
      <c r="C30" s="16"/>
      <c r="D30" s="9"/>
      <c r="E30" s="10"/>
      <c r="F30" s="17"/>
      <c r="G30" s="18"/>
      <c r="H30" s="11"/>
      <c r="I30" s="19"/>
      <c r="J30" s="5"/>
      <c r="K30" s="5"/>
    </row>
    <row r="31" spans="1:11" s="4" customFormat="1" ht="15" customHeight="1" x14ac:dyDescent="0.2">
      <c r="A31" s="116">
        <v>33110</v>
      </c>
      <c r="B31" s="15">
        <v>0</v>
      </c>
      <c r="C31" s="16">
        <v>0</v>
      </c>
      <c r="D31" s="9" t="s">
        <v>39</v>
      </c>
      <c r="E31" s="10" t="s">
        <v>40</v>
      </c>
      <c r="F31" s="17">
        <v>153507</v>
      </c>
      <c r="G31" s="20">
        <v>20373.880151304002</v>
      </c>
      <c r="H31" s="11">
        <f t="shared" si="0"/>
        <v>116263.81467000001</v>
      </c>
      <c r="I31" s="21">
        <v>15430.86</v>
      </c>
      <c r="J31" s="5">
        <f>-464.47+21500</f>
        <v>21035.53</v>
      </c>
      <c r="K31" s="5">
        <v>21390.58</v>
      </c>
    </row>
    <row r="32" spans="1:11" s="4" customFormat="1" ht="15" customHeight="1" x14ac:dyDescent="0.2">
      <c r="A32" s="116"/>
      <c r="B32" s="15"/>
      <c r="C32" s="16"/>
      <c r="D32" s="9"/>
      <c r="E32" s="10"/>
      <c r="F32" s="17"/>
      <c r="G32" s="20"/>
      <c r="H32" s="11"/>
      <c r="I32" s="21"/>
      <c r="J32" s="5"/>
      <c r="K32" s="5"/>
    </row>
    <row r="33" spans="1:11" s="4" customFormat="1" ht="15" customHeight="1" x14ac:dyDescent="0.2">
      <c r="A33" s="116">
        <v>33120</v>
      </c>
      <c r="B33" s="15">
        <v>0</v>
      </c>
      <c r="C33" s="16">
        <v>0</v>
      </c>
      <c r="D33" s="9" t="s">
        <v>41</v>
      </c>
      <c r="E33" s="10" t="s">
        <v>42</v>
      </c>
      <c r="F33" s="17">
        <v>420000</v>
      </c>
      <c r="G33" s="18">
        <v>55743.57953414294</v>
      </c>
      <c r="H33" s="11">
        <f t="shared" si="0"/>
        <v>77174.979359999998</v>
      </c>
      <c r="I33" s="19">
        <v>10242.879999999999</v>
      </c>
      <c r="J33" s="5">
        <v>55743.57953414294</v>
      </c>
      <c r="K33" s="5">
        <v>49644</v>
      </c>
    </row>
    <row r="34" spans="1:11" s="4" customFormat="1" ht="15" customHeight="1" x14ac:dyDescent="0.2">
      <c r="A34" s="116"/>
      <c r="B34" s="15"/>
      <c r="C34" s="16"/>
      <c r="D34" s="9"/>
      <c r="E34" s="10"/>
      <c r="F34" s="17"/>
      <c r="G34" s="18"/>
      <c r="H34" s="11"/>
      <c r="I34" s="19"/>
      <c r="J34" s="5"/>
      <c r="K34" s="5"/>
    </row>
    <row r="35" spans="1:11" s="4" customFormat="1" ht="15" customHeight="1" x14ac:dyDescent="0.2">
      <c r="A35" s="116"/>
      <c r="B35" s="15">
        <v>0</v>
      </c>
      <c r="C35" s="16">
        <v>0</v>
      </c>
      <c r="D35" s="9"/>
      <c r="E35" s="10" t="s">
        <v>43</v>
      </c>
      <c r="F35" s="17">
        <v>50000</v>
      </c>
      <c r="G35" s="18">
        <v>6636.1404207313026</v>
      </c>
      <c r="H35" s="11">
        <f t="shared" si="0"/>
        <v>29999.967960000002</v>
      </c>
      <c r="I35" s="19">
        <v>3981.68</v>
      </c>
      <c r="J35" s="5">
        <v>11945.68</v>
      </c>
      <c r="K35" s="5">
        <v>17185.68</v>
      </c>
    </row>
    <row r="36" spans="1:11" s="4" customFormat="1" ht="15" customHeight="1" x14ac:dyDescent="0.2">
      <c r="A36" s="116"/>
      <c r="B36" s="15"/>
      <c r="C36" s="16"/>
      <c r="D36" s="9"/>
      <c r="E36" s="10"/>
      <c r="F36" s="17"/>
      <c r="G36" s="18"/>
      <c r="H36" s="11"/>
      <c r="I36" s="19"/>
      <c r="J36" s="5"/>
      <c r="K36" s="5"/>
    </row>
    <row r="37" spans="1:11" s="4" customFormat="1" ht="15" customHeight="1" x14ac:dyDescent="0.2">
      <c r="A37" s="116">
        <v>37110</v>
      </c>
      <c r="B37" s="15">
        <v>0</v>
      </c>
      <c r="C37" s="16">
        <v>0</v>
      </c>
      <c r="D37" s="9" t="s">
        <v>44</v>
      </c>
      <c r="E37" s="10" t="s">
        <v>45</v>
      </c>
      <c r="F37" s="17">
        <v>50485.08</v>
      </c>
      <c r="G37" s="18">
        <v>6700.5216006370692</v>
      </c>
      <c r="H37" s="11">
        <f t="shared" si="0"/>
        <v>25242.23259</v>
      </c>
      <c r="I37" s="19">
        <v>3350.22</v>
      </c>
      <c r="J37" s="18">
        <v>6700.5216006370692</v>
      </c>
      <c r="K37" s="18">
        <v>6700.44</v>
      </c>
    </row>
    <row r="38" spans="1:11" s="4" customFormat="1" ht="15" customHeight="1" x14ac:dyDescent="0.2">
      <c r="A38" s="116"/>
      <c r="B38" s="15"/>
      <c r="C38" s="16"/>
      <c r="D38" s="9"/>
      <c r="E38" s="10"/>
      <c r="F38" s="17"/>
      <c r="G38" s="18"/>
      <c r="H38" s="11"/>
      <c r="I38" s="19"/>
      <c r="J38" s="18"/>
      <c r="K38" s="18"/>
    </row>
    <row r="39" spans="1:11" s="4" customFormat="1" ht="15" customHeight="1" x14ac:dyDescent="0.2">
      <c r="A39" s="116">
        <v>31111</v>
      </c>
      <c r="B39" s="15">
        <v>0</v>
      </c>
      <c r="C39" s="16">
        <v>0</v>
      </c>
      <c r="D39" s="9" t="s">
        <v>44</v>
      </c>
      <c r="E39" s="10" t="s">
        <v>46</v>
      </c>
      <c r="F39" s="17">
        <v>52000</v>
      </c>
      <c r="G39" s="20">
        <v>6901.5860375605544</v>
      </c>
      <c r="H39" s="11">
        <f t="shared" si="0"/>
        <v>42214.145909999999</v>
      </c>
      <c r="I39" s="21">
        <v>5602.78</v>
      </c>
      <c r="J39" s="21">
        <v>6909.1</v>
      </c>
      <c r="K39" s="21">
        <v>6069.98</v>
      </c>
    </row>
    <row r="40" spans="1:11" s="4" customFormat="1" ht="15" customHeight="1" x14ac:dyDescent="0.2">
      <c r="A40" s="116"/>
      <c r="B40" s="15"/>
      <c r="C40" s="16"/>
      <c r="D40" s="9"/>
      <c r="E40" s="10"/>
      <c r="F40" s="17"/>
      <c r="G40" s="20"/>
      <c r="H40" s="11"/>
      <c r="I40" s="21"/>
      <c r="J40" s="21"/>
      <c r="K40" s="21"/>
    </row>
    <row r="41" spans="1:11" s="4" customFormat="1" ht="15" customHeight="1" x14ac:dyDescent="0.2">
      <c r="A41" s="116" t="s">
        <v>47</v>
      </c>
      <c r="B41" s="15">
        <v>0</v>
      </c>
      <c r="C41" s="16">
        <v>0</v>
      </c>
      <c r="D41" s="9" t="s">
        <v>48</v>
      </c>
      <c r="E41" s="22" t="s">
        <v>49</v>
      </c>
      <c r="F41" s="17">
        <v>39553.75</v>
      </c>
      <c r="G41" s="20">
        <v>5249.6847833300153</v>
      </c>
      <c r="H41" s="11">
        <f t="shared" si="0"/>
        <v>98252.667764999991</v>
      </c>
      <c r="I41" s="21">
        <f>I42+I43+I44+I45+I46</f>
        <v>13040.369999999999</v>
      </c>
      <c r="J41" s="3">
        <v>13040.369999999999</v>
      </c>
      <c r="K41" s="3">
        <f>K42+K43+K44+K45+K46+K47</f>
        <v>13448.699999999999</v>
      </c>
    </row>
    <row r="42" spans="1:11" s="4" customFormat="1" ht="15" customHeight="1" x14ac:dyDescent="0.2">
      <c r="A42" s="116">
        <v>355</v>
      </c>
      <c r="B42" s="15">
        <v>0</v>
      </c>
      <c r="C42" s="16">
        <v>0</v>
      </c>
      <c r="D42" s="23" t="s">
        <v>50</v>
      </c>
      <c r="E42" s="24" t="s">
        <v>51</v>
      </c>
      <c r="F42" s="25"/>
      <c r="G42" s="26"/>
      <c r="H42" s="11"/>
      <c r="I42" s="62">
        <v>300</v>
      </c>
      <c r="J42" s="5"/>
      <c r="K42" s="62">
        <v>8585</v>
      </c>
    </row>
    <row r="43" spans="1:11" s="4" customFormat="1" ht="15" customHeight="1" x14ac:dyDescent="0.2">
      <c r="A43" s="116">
        <v>355</v>
      </c>
      <c r="B43" s="15">
        <v>0</v>
      </c>
      <c r="C43" s="16">
        <v>0</v>
      </c>
      <c r="D43" s="23" t="s">
        <v>52</v>
      </c>
      <c r="E43" s="24" t="s">
        <v>51</v>
      </c>
      <c r="F43" s="25"/>
      <c r="G43" s="26"/>
      <c r="H43" s="11"/>
      <c r="I43" s="62">
        <v>7885</v>
      </c>
      <c r="J43" s="5"/>
      <c r="K43" s="62">
        <v>0</v>
      </c>
    </row>
    <row r="44" spans="1:11" s="4" customFormat="1" ht="15" customHeight="1" x14ac:dyDescent="0.2">
      <c r="A44" s="116">
        <v>36330</v>
      </c>
      <c r="B44" s="15">
        <v>0</v>
      </c>
      <c r="C44" s="16">
        <v>0</v>
      </c>
      <c r="D44" s="23" t="s">
        <v>53</v>
      </c>
      <c r="E44" s="24" t="s">
        <v>54</v>
      </c>
      <c r="F44" s="25"/>
      <c r="G44" s="26"/>
      <c r="H44" s="11"/>
      <c r="I44" s="62">
        <v>900</v>
      </c>
      <c r="J44" s="5"/>
      <c r="K44" s="62">
        <v>908</v>
      </c>
    </row>
    <row r="45" spans="1:11" s="4" customFormat="1" ht="15" customHeight="1" x14ac:dyDescent="0.2">
      <c r="A45" s="116">
        <v>36331</v>
      </c>
      <c r="B45" s="15">
        <v>0</v>
      </c>
      <c r="C45" s="16">
        <v>0</v>
      </c>
      <c r="D45" s="23" t="s">
        <v>55</v>
      </c>
      <c r="E45" s="24" t="s">
        <v>56</v>
      </c>
      <c r="F45" s="25"/>
      <c r="G45" s="26"/>
      <c r="H45" s="11"/>
      <c r="I45" s="62">
        <v>3025.37</v>
      </c>
      <c r="J45" s="5"/>
      <c r="K45" s="62">
        <v>3025.37</v>
      </c>
    </row>
    <row r="46" spans="1:11" s="4" customFormat="1" ht="15" customHeight="1" x14ac:dyDescent="0.2">
      <c r="A46" s="116">
        <v>36332</v>
      </c>
      <c r="B46" s="28">
        <v>0</v>
      </c>
      <c r="C46" s="29">
        <v>0</v>
      </c>
      <c r="D46" s="23" t="s">
        <v>57</v>
      </c>
      <c r="E46" s="24" t="s">
        <v>58</v>
      </c>
      <c r="F46" s="25"/>
      <c r="G46" s="26"/>
      <c r="H46" s="11"/>
      <c r="I46" s="62">
        <v>930</v>
      </c>
      <c r="J46" s="5"/>
      <c r="K46" s="62">
        <v>930</v>
      </c>
    </row>
    <row r="47" spans="1:11" s="4" customFormat="1" ht="15" customHeight="1" x14ac:dyDescent="0.2">
      <c r="A47" s="116">
        <v>34130</v>
      </c>
      <c r="B47" s="28">
        <v>0</v>
      </c>
      <c r="C47" s="29">
        <v>0</v>
      </c>
      <c r="D47" s="23" t="s">
        <v>126</v>
      </c>
      <c r="E47" s="24" t="s">
        <v>59</v>
      </c>
      <c r="F47" s="25"/>
      <c r="G47" s="26"/>
      <c r="H47" s="11"/>
      <c r="I47" s="62"/>
      <c r="J47" s="5"/>
      <c r="K47" s="62">
        <v>0.33</v>
      </c>
    </row>
    <row r="48" spans="1:11" s="4" customFormat="1" ht="15" customHeight="1" x14ac:dyDescent="0.2">
      <c r="A48" s="233"/>
      <c r="B48" s="28">
        <v>0</v>
      </c>
      <c r="C48" s="29">
        <v>0</v>
      </c>
      <c r="D48" s="23"/>
      <c r="E48" s="24"/>
      <c r="F48" s="25"/>
      <c r="G48" s="26"/>
      <c r="H48" s="11"/>
      <c r="I48" s="62"/>
      <c r="J48" s="5"/>
      <c r="K48" s="62"/>
    </row>
    <row r="49" spans="1:11" s="4" customFormat="1" ht="15" customHeight="1" x14ac:dyDescent="0.35">
      <c r="A49" s="319">
        <v>3</v>
      </c>
      <c r="B49" s="320"/>
      <c r="C49" s="321"/>
      <c r="D49" s="30"/>
      <c r="E49" s="31" t="s">
        <v>60</v>
      </c>
      <c r="F49" s="32">
        <f>F25+F27+F29+F31+F33+F35+F37+F39+F41</f>
        <v>3307545.83</v>
      </c>
      <c r="G49" s="33">
        <f>G25+G27+G29+G31+G33+G35+G37+G39+G41</f>
        <v>438986.77151768521</v>
      </c>
      <c r="H49" s="32">
        <f>I49*$H$24</f>
        <v>2885499.746235</v>
      </c>
      <c r="I49" s="34">
        <f>I25+I27+I29+I31+I33+I35+I37+I39+I41</f>
        <v>382971.63</v>
      </c>
      <c r="J49" s="35">
        <f>J25+J27+J29+J31+J33+J35+J37+J39+J41</f>
        <v>495296.31035038811</v>
      </c>
      <c r="K49" s="35">
        <f>K25+K27+K29+K31+K33+K35+K37+K39+K41</f>
        <v>488942.63</v>
      </c>
    </row>
    <row r="50" spans="1:11" s="4" customFormat="1" ht="15" customHeight="1" x14ac:dyDescent="0.2">
      <c r="A50" s="36"/>
      <c r="B50" s="37"/>
      <c r="C50" s="38"/>
      <c r="D50" s="39"/>
      <c r="E50" s="39"/>
      <c r="F50" s="39"/>
      <c r="G50" s="40"/>
      <c r="H50" s="39"/>
      <c r="I50" s="41"/>
      <c r="J50" s="42"/>
      <c r="K50" s="42"/>
    </row>
    <row r="51" spans="1:11" s="4" customFormat="1" ht="15" customHeight="1" x14ac:dyDescent="0.25">
      <c r="A51" s="43"/>
      <c r="B51" s="44"/>
      <c r="C51" s="45"/>
      <c r="D51" s="322" t="s">
        <v>61</v>
      </c>
      <c r="E51" s="322"/>
      <c r="F51" s="46"/>
      <c r="G51" s="47"/>
      <c r="H51" s="46"/>
      <c r="I51" s="48"/>
      <c r="J51" s="5"/>
      <c r="K51" s="5"/>
    </row>
    <row r="52" spans="1:11" s="4" customFormat="1" ht="15" customHeight="1" x14ac:dyDescent="0.2">
      <c r="A52" s="323" t="s">
        <v>62</v>
      </c>
      <c r="B52" s="49"/>
      <c r="C52" s="50"/>
      <c r="D52" s="51"/>
      <c r="E52" s="10" t="s">
        <v>63</v>
      </c>
      <c r="F52" s="46"/>
      <c r="G52" s="52"/>
      <c r="H52" s="46"/>
      <c r="I52" s="53"/>
      <c r="J52" s="5"/>
      <c r="K52" s="5"/>
    </row>
    <row r="53" spans="1:11" s="4" customFormat="1" ht="15" customHeight="1" x14ac:dyDescent="0.2">
      <c r="A53" s="323"/>
      <c r="B53" s="54">
        <v>2</v>
      </c>
      <c r="C53" s="55">
        <v>0</v>
      </c>
      <c r="D53" s="9" t="s">
        <v>32</v>
      </c>
      <c r="E53" s="10" t="s">
        <v>64</v>
      </c>
      <c r="F53" s="17">
        <v>68000</v>
      </c>
      <c r="G53" s="18">
        <v>9025.15</v>
      </c>
      <c r="H53" s="17">
        <f>I53*$H$24</f>
        <v>55027.844024999999</v>
      </c>
      <c r="I53" s="19">
        <v>7303.45</v>
      </c>
      <c r="J53" s="5">
        <v>9025.15</v>
      </c>
      <c r="K53" s="5">
        <v>7303.45</v>
      </c>
    </row>
    <row r="54" spans="1:11" s="4" customFormat="1" ht="15" customHeight="1" x14ac:dyDescent="0.2">
      <c r="A54" s="323"/>
      <c r="B54" s="54"/>
      <c r="C54" s="55"/>
      <c r="D54" s="9"/>
      <c r="E54" s="10"/>
      <c r="F54" s="17"/>
      <c r="G54" s="18"/>
      <c r="H54" s="17"/>
      <c r="I54" s="19"/>
      <c r="J54" s="5"/>
      <c r="K54" s="5"/>
    </row>
    <row r="55" spans="1:11" s="4" customFormat="1" ht="15" customHeight="1" x14ac:dyDescent="0.2">
      <c r="A55" s="323"/>
      <c r="B55" s="54">
        <v>1</v>
      </c>
      <c r="C55" s="55">
        <v>0</v>
      </c>
      <c r="D55" s="9" t="s">
        <v>34</v>
      </c>
      <c r="E55" s="10" t="s">
        <v>65</v>
      </c>
      <c r="F55" s="17">
        <v>60000</v>
      </c>
      <c r="G55" s="18">
        <v>7963.3685048775624</v>
      </c>
      <c r="H55" s="17">
        <f>I55*$H$24</f>
        <v>29567.412315000001</v>
      </c>
      <c r="I55" s="19">
        <v>3924.27</v>
      </c>
      <c r="J55" s="5">
        <v>7963.3685048775624</v>
      </c>
      <c r="K55" s="5">
        <v>7784.2</v>
      </c>
    </row>
    <row r="56" spans="1:11" s="4" customFormat="1" ht="15" customHeight="1" x14ac:dyDescent="0.2">
      <c r="A56" s="323"/>
      <c r="B56" s="54"/>
      <c r="C56" s="55"/>
      <c r="D56" s="9"/>
      <c r="E56" s="10"/>
      <c r="F56" s="17"/>
      <c r="G56" s="18"/>
      <c r="H56" s="17"/>
      <c r="I56" s="19"/>
      <c r="J56" s="5"/>
      <c r="K56" s="5"/>
    </row>
    <row r="57" spans="1:11" s="4" customFormat="1" ht="15" customHeight="1" x14ac:dyDescent="0.2">
      <c r="A57" s="323"/>
      <c r="B57" s="54">
        <v>3</v>
      </c>
      <c r="C57" s="55">
        <v>0</v>
      </c>
      <c r="D57" s="9" t="s">
        <v>37</v>
      </c>
      <c r="E57" s="10" t="s">
        <v>66</v>
      </c>
      <c r="F57" s="17">
        <v>10000</v>
      </c>
      <c r="G57" s="18">
        <v>1327.2280841462605</v>
      </c>
      <c r="H57" s="17">
        <f>I57*$H$24</f>
        <v>3150.9279000000001</v>
      </c>
      <c r="I57" s="19">
        <v>418.2</v>
      </c>
      <c r="J57" s="3">
        <v>890</v>
      </c>
      <c r="K57" s="3">
        <v>895.15</v>
      </c>
    </row>
    <row r="58" spans="1:11" s="4" customFormat="1" ht="15" customHeight="1" x14ac:dyDescent="0.2">
      <c r="A58" s="323"/>
      <c r="B58" s="54"/>
      <c r="C58" s="55"/>
      <c r="D58" s="9"/>
      <c r="E58" s="10"/>
      <c r="F58" s="17"/>
      <c r="G58" s="18"/>
      <c r="H58" s="17"/>
      <c r="I58" s="19"/>
      <c r="J58" s="3"/>
      <c r="K58" s="3"/>
    </row>
    <row r="59" spans="1:11" s="4" customFormat="1" ht="15" customHeight="1" x14ac:dyDescent="0.2">
      <c r="A59" s="323"/>
      <c r="B59" s="54">
        <v>4</v>
      </c>
      <c r="C59" s="55">
        <v>0</v>
      </c>
      <c r="D59" s="9" t="s">
        <v>39</v>
      </c>
      <c r="E59" s="10" t="s">
        <v>67</v>
      </c>
      <c r="F59" s="17">
        <v>12000</v>
      </c>
      <c r="G59" s="18">
        <v>1592.6737009755125</v>
      </c>
      <c r="H59" s="17">
        <f>I59*$H$24</f>
        <v>0</v>
      </c>
      <c r="I59" s="19">
        <v>0</v>
      </c>
      <c r="J59" s="3">
        <v>890</v>
      </c>
      <c r="K59" s="3">
        <v>765.73</v>
      </c>
    </row>
    <row r="60" spans="1:11" s="4" customFormat="1" ht="15" customHeight="1" x14ac:dyDescent="0.2">
      <c r="A60" s="323"/>
      <c r="B60" s="54"/>
      <c r="C60" s="55"/>
      <c r="D60" s="9"/>
      <c r="E60" s="10"/>
      <c r="F60" s="17"/>
      <c r="G60" s="18"/>
      <c r="H60" s="17"/>
      <c r="I60" s="19"/>
      <c r="J60" s="3"/>
      <c r="K60" s="3"/>
    </row>
    <row r="61" spans="1:11" s="4" customFormat="1" ht="15" customHeight="1" x14ac:dyDescent="0.2">
      <c r="A61" s="323"/>
      <c r="B61" s="54">
        <v>5</v>
      </c>
      <c r="C61" s="55">
        <v>0</v>
      </c>
      <c r="D61" s="9" t="s">
        <v>41</v>
      </c>
      <c r="E61" s="10" t="s">
        <v>68</v>
      </c>
      <c r="F61" s="17">
        <v>17000</v>
      </c>
      <c r="G61" s="20">
        <v>2256.2877430486428</v>
      </c>
      <c r="H61" s="17">
        <f>I61*$H$24</f>
        <v>19074.94296</v>
      </c>
      <c r="I61" s="21">
        <v>2531.6799999999998</v>
      </c>
      <c r="J61" s="5">
        <v>3800</v>
      </c>
      <c r="K61" s="5">
        <v>3438.66</v>
      </c>
    </row>
    <row r="62" spans="1:11" s="4" customFormat="1" ht="15" customHeight="1" x14ac:dyDescent="0.2">
      <c r="A62" s="323"/>
      <c r="B62" s="54"/>
      <c r="C62" s="55"/>
      <c r="D62" s="23" t="s">
        <v>50</v>
      </c>
      <c r="E62" s="56" t="s">
        <v>69</v>
      </c>
      <c r="F62" s="17"/>
      <c r="G62" s="20"/>
      <c r="H62" s="17">
        <f>I62*$H$24</f>
        <v>0</v>
      </c>
      <c r="I62" s="21"/>
      <c r="J62" s="5"/>
      <c r="K62" s="5"/>
    </row>
    <row r="63" spans="1:11" s="4" customFormat="1" ht="15" customHeight="1" x14ac:dyDescent="0.2">
      <c r="A63" s="323"/>
      <c r="B63" s="54"/>
      <c r="C63" s="55"/>
      <c r="D63" s="23" t="s">
        <v>52</v>
      </c>
      <c r="E63" s="56" t="s">
        <v>70</v>
      </c>
      <c r="F63" s="57"/>
      <c r="G63" s="58"/>
      <c r="H63" s="57">
        <f>I63*$H$24</f>
        <v>0</v>
      </c>
      <c r="I63" s="59"/>
      <c r="J63" s="5"/>
      <c r="K63" s="5"/>
    </row>
    <row r="64" spans="1:11" s="4" customFormat="1" ht="15" customHeight="1" x14ac:dyDescent="0.2">
      <c r="A64" s="323"/>
      <c r="B64" s="54"/>
      <c r="C64" s="55"/>
      <c r="D64" s="9"/>
      <c r="E64" s="56"/>
      <c r="F64" s="57"/>
      <c r="G64" s="58"/>
      <c r="H64" s="57"/>
      <c r="I64" s="59"/>
      <c r="J64" s="5"/>
      <c r="K64" s="5"/>
    </row>
    <row r="65" spans="1:11" s="4" customFormat="1" ht="15" customHeight="1" x14ac:dyDescent="0.2">
      <c r="A65" s="323"/>
      <c r="B65" s="54">
        <v>26</v>
      </c>
      <c r="C65" s="55">
        <v>0</v>
      </c>
      <c r="D65" s="9" t="s">
        <v>44</v>
      </c>
      <c r="E65" s="10" t="s">
        <v>71</v>
      </c>
      <c r="F65" s="17">
        <v>12000</v>
      </c>
      <c r="G65" s="18">
        <v>1592.6737009755125</v>
      </c>
      <c r="H65" s="17">
        <f>I65*$H$24</f>
        <v>11422.754070000001</v>
      </c>
      <c r="I65" s="19">
        <f>-53-79.65-376.6-226.8-49.6-30+2331.71</f>
        <v>1516.06</v>
      </c>
      <c r="J65" s="3">
        <v>2331.71</v>
      </c>
      <c r="K65" s="3">
        <v>1636.8</v>
      </c>
    </row>
    <row r="66" spans="1:11" s="4" customFormat="1" ht="15" customHeight="1" x14ac:dyDescent="0.2">
      <c r="A66" s="323"/>
      <c r="B66" s="54"/>
      <c r="C66" s="55"/>
      <c r="D66" s="9"/>
      <c r="E66" s="10"/>
      <c r="F66" s="17"/>
      <c r="G66" s="18"/>
      <c r="H66" s="17"/>
      <c r="I66" s="19"/>
      <c r="J66" s="3"/>
      <c r="K66" s="3"/>
    </row>
    <row r="67" spans="1:11" s="4" customFormat="1" ht="15" customHeight="1" x14ac:dyDescent="0.2">
      <c r="A67" s="323"/>
      <c r="B67" s="54">
        <v>41</v>
      </c>
      <c r="C67" s="55">
        <v>0</v>
      </c>
      <c r="D67" s="9" t="s">
        <v>48</v>
      </c>
      <c r="E67" s="10" t="s">
        <v>72</v>
      </c>
      <c r="F67" s="17">
        <v>10000</v>
      </c>
      <c r="G67" s="18">
        <v>1327.2280841462605</v>
      </c>
      <c r="H67" s="17">
        <f>I67*$H$24</f>
        <v>4208.0182500000001</v>
      </c>
      <c r="I67" s="19">
        <v>558.5</v>
      </c>
      <c r="J67" s="3">
        <v>1327.2280841462605</v>
      </c>
      <c r="K67" s="3">
        <v>1321.24</v>
      </c>
    </row>
    <row r="68" spans="1:11" s="4" customFormat="1" ht="15" customHeight="1" x14ac:dyDescent="0.2">
      <c r="A68" s="323"/>
      <c r="B68" s="54"/>
      <c r="C68" s="55"/>
      <c r="D68" s="9"/>
      <c r="E68" s="10"/>
      <c r="F68" s="17"/>
      <c r="G68" s="18"/>
      <c r="H68" s="17"/>
      <c r="I68" s="19"/>
      <c r="J68" s="3"/>
      <c r="K68" s="3"/>
    </row>
    <row r="69" spans="1:11" s="4" customFormat="1" ht="15" customHeight="1" x14ac:dyDescent="0.2">
      <c r="A69" s="323"/>
      <c r="B69" s="54">
        <v>6</v>
      </c>
      <c r="C69" s="55">
        <v>0</v>
      </c>
      <c r="D69" s="9" t="s">
        <v>73</v>
      </c>
      <c r="E69" s="10" t="s">
        <v>74</v>
      </c>
      <c r="F69" s="17">
        <v>8000</v>
      </c>
      <c r="G69" s="18">
        <v>1061.7824673170085</v>
      </c>
      <c r="H69" s="17">
        <f>I69*$H$24</f>
        <v>0</v>
      </c>
      <c r="I69" s="19">
        <v>0</v>
      </c>
      <c r="J69" s="5">
        <v>0</v>
      </c>
      <c r="K69" s="5">
        <v>0</v>
      </c>
    </row>
    <row r="70" spans="1:11" s="4" customFormat="1" ht="15" customHeight="1" x14ac:dyDescent="0.2">
      <c r="A70" s="323"/>
      <c r="B70" s="54"/>
      <c r="C70" s="55"/>
      <c r="D70" s="9"/>
      <c r="E70" s="10"/>
      <c r="F70" s="17"/>
      <c r="G70" s="18"/>
      <c r="H70" s="17"/>
      <c r="I70" s="19"/>
      <c r="J70" s="5"/>
      <c r="K70" s="5"/>
    </row>
    <row r="71" spans="1:11" s="4" customFormat="1" ht="15" customHeight="1" x14ac:dyDescent="0.2">
      <c r="A71" s="323"/>
      <c r="B71" s="54">
        <v>11</v>
      </c>
      <c r="C71" s="55">
        <v>0</v>
      </c>
      <c r="D71" s="9" t="s">
        <v>75</v>
      </c>
      <c r="E71" s="10" t="s">
        <v>76</v>
      </c>
      <c r="F71" s="17">
        <v>75000</v>
      </c>
      <c r="G71" s="18">
        <v>9954.2106310969539</v>
      </c>
      <c r="H71" s="17">
        <f>I71*$H$24</f>
        <v>43270.181429999997</v>
      </c>
      <c r="I71" s="19">
        <v>5742.94</v>
      </c>
      <c r="J71" s="3">
        <v>9954.2106310969539</v>
      </c>
      <c r="K71" s="3">
        <f>K72</f>
        <v>9290.7099999999991</v>
      </c>
    </row>
    <row r="72" spans="1:11" s="4" customFormat="1" ht="15" customHeight="1" x14ac:dyDescent="0.2">
      <c r="A72" s="323"/>
      <c r="B72" s="54"/>
      <c r="C72" s="55"/>
      <c r="D72" s="9"/>
      <c r="E72" s="10"/>
      <c r="F72" s="17"/>
      <c r="G72" s="18"/>
      <c r="H72" s="17"/>
      <c r="I72" s="19"/>
      <c r="J72" s="3"/>
      <c r="K72" s="66">
        <f>1300+7990.71</f>
        <v>9290.7099999999991</v>
      </c>
    </row>
    <row r="73" spans="1:11" s="4" customFormat="1" ht="15" customHeight="1" x14ac:dyDescent="0.2">
      <c r="A73" s="323"/>
      <c r="B73" s="54"/>
      <c r="C73" s="55"/>
      <c r="D73" s="9"/>
      <c r="E73" s="10"/>
      <c r="F73" s="17"/>
      <c r="G73" s="18"/>
      <c r="H73" s="17"/>
      <c r="I73" s="19"/>
      <c r="J73" s="3"/>
      <c r="K73" s="3"/>
    </row>
    <row r="74" spans="1:11" s="4" customFormat="1" ht="15" customHeight="1" x14ac:dyDescent="0.2">
      <c r="A74" s="323"/>
      <c r="B74" s="54"/>
      <c r="C74" s="55">
        <v>0</v>
      </c>
      <c r="D74" s="9" t="s">
        <v>77</v>
      </c>
      <c r="E74" s="22" t="s">
        <v>78</v>
      </c>
      <c r="F74" s="17">
        <v>20000</v>
      </c>
      <c r="G74" s="18">
        <v>2654.4561682925209</v>
      </c>
      <c r="H74" s="17">
        <f>I74*$H$24</f>
        <v>19930.862160000004</v>
      </c>
      <c r="I74" s="19">
        <f>I75+I76</f>
        <v>2645.28</v>
      </c>
      <c r="J74" s="5">
        <v>2654.4561682925209</v>
      </c>
      <c r="K74" s="3">
        <f>K75+K76</f>
        <v>2635.2599999999998</v>
      </c>
    </row>
    <row r="75" spans="1:11" s="4" customFormat="1" ht="15" customHeight="1" x14ac:dyDescent="0.2">
      <c r="A75" s="323"/>
      <c r="B75" s="54">
        <v>10</v>
      </c>
      <c r="C75" s="55">
        <v>0</v>
      </c>
      <c r="D75" s="23" t="s">
        <v>50</v>
      </c>
      <c r="E75" s="61" t="s">
        <v>79</v>
      </c>
      <c r="F75" s="17"/>
      <c r="G75" s="18"/>
      <c r="H75" s="17"/>
      <c r="I75" s="62">
        <v>1829.63</v>
      </c>
      <c r="J75" s="5"/>
      <c r="K75" s="65">
        <f>-1300+3023.93</f>
        <v>1723.9299999999998</v>
      </c>
    </row>
    <row r="76" spans="1:11" s="4" customFormat="1" ht="15" customHeight="1" x14ac:dyDescent="0.2">
      <c r="A76" s="323"/>
      <c r="B76" s="54">
        <v>69</v>
      </c>
      <c r="C76" s="55">
        <v>0</v>
      </c>
      <c r="D76" s="23" t="s">
        <v>52</v>
      </c>
      <c r="E76" s="61" t="s">
        <v>80</v>
      </c>
      <c r="F76" s="17"/>
      <c r="G76" s="18"/>
      <c r="H76" s="17"/>
      <c r="I76" s="62">
        <v>815.65</v>
      </c>
      <c r="J76" s="5"/>
      <c r="K76" s="65">
        <v>911.33</v>
      </c>
    </row>
    <row r="77" spans="1:11" s="4" customFormat="1" ht="15" customHeight="1" x14ac:dyDescent="0.2">
      <c r="A77" s="323"/>
      <c r="B77" s="54"/>
      <c r="C77" s="55"/>
      <c r="D77" s="9"/>
      <c r="E77" s="61"/>
      <c r="F77" s="17"/>
      <c r="G77" s="18"/>
      <c r="H77" s="17"/>
      <c r="I77" s="62"/>
      <c r="J77" s="5"/>
      <c r="K77" s="63"/>
    </row>
    <row r="78" spans="1:11" s="4" customFormat="1" ht="15" customHeight="1" x14ac:dyDescent="0.2">
      <c r="A78" s="323"/>
      <c r="B78" s="54">
        <v>20</v>
      </c>
      <c r="C78" s="55">
        <v>0</v>
      </c>
      <c r="D78" s="9" t="s">
        <v>81</v>
      </c>
      <c r="E78" s="10" t="s">
        <v>82</v>
      </c>
      <c r="F78" s="17">
        <v>19872</v>
      </c>
      <c r="G78" s="18">
        <v>2637.4676488154487</v>
      </c>
      <c r="H78" s="17">
        <f>I78*$H$24</f>
        <v>10707.051915</v>
      </c>
      <c r="I78" s="19">
        <v>1421.07</v>
      </c>
      <c r="J78" s="3">
        <v>2637.4676488154487</v>
      </c>
      <c r="K78" s="227">
        <f>K79+K81+K80</f>
        <v>4048.7299999999996</v>
      </c>
    </row>
    <row r="79" spans="1:11" s="4" customFormat="1" ht="15" customHeight="1" x14ac:dyDescent="0.2">
      <c r="A79" s="323"/>
      <c r="B79" s="54"/>
      <c r="C79" s="55"/>
      <c r="D79" s="23" t="s">
        <v>50</v>
      </c>
      <c r="E79" s="56" t="s">
        <v>83</v>
      </c>
      <c r="F79" s="17"/>
      <c r="G79" s="18"/>
      <c r="H79" s="17"/>
      <c r="I79" s="19"/>
      <c r="J79" s="3"/>
      <c r="K79" s="66">
        <v>1445.4</v>
      </c>
    </row>
    <row r="80" spans="1:11" s="4" customFormat="1" ht="15" customHeight="1" x14ac:dyDescent="0.2">
      <c r="A80" s="323"/>
      <c r="B80" s="54"/>
      <c r="C80" s="55"/>
      <c r="D80" s="23"/>
      <c r="E80" s="56" t="s">
        <v>84</v>
      </c>
      <c r="F80" s="17"/>
      <c r="G80" s="18"/>
      <c r="H80" s="17"/>
      <c r="I80" s="19"/>
      <c r="J80" s="3"/>
      <c r="K80" s="66">
        <v>1421.07</v>
      </c>
    </row>
    <row r="81" spans="1:11" s="4" customFormat="1" ht="15" customHeight="1" x14ac:dyDescent="0.2">
      <c r="A81" s="323"/>
      <c r="B81" s="54"/>
      <c r="C81" s="55"/>
      <c r="D81" s="23" t="s">
        <v>52</v>
      </c>
      <c r="E81" s="56" t="s">
        <v>320</v>
      </c>
      <c r="F81" s="25"/>
      <c r="G81" s="64"/>
      <c r="H81" s="25"/>
      <c r="I81" s="64"/>
      <c r="J81" s="60"/>
      <c r="K81" s="66">
        <v>1182.26</v>
      </c>
    </row>
    <row r="82" spans="1:11" s="4" customFormat="1" ht="15" customHeight="1" x14ac:dyDescent="0.2">
      <c r="A82" s="323"/>
      <c r="B82" s="54"/>
      <c r="C82" s="55"/>
      <c r="D82" s="9"/>
      <c r="E82" s="56"/>
      <c r="F82" s="25"/>
      <c r="G82" s="64"/>
      <c r="H82" s="25"/>
      <c r="I82" s="64"/>
      <c r="J82" s="60"/>
      <c r="K82" s="66"/>
    </row>
    <row r="83" spans="1:11" s="4" customFormat="1" ht="15" customHeight="1" x14ac:dyDescent="0.2">
      <c r="A83" s="323"/>
      <c r="B83" s="54">
        <v>22</v>
      </c>
      <c r="C83" s="55">
        <v>0</v>
      </c>
      <c r="D83" s="9" t="s">
        <v>85</v>
      </c>
      <c r="E83" s="10" t="s">
        <v>86</v>
      </c>
      <c r="F83" s="17">
        <f>F84+F85</f>
        <v>35000</v>
      </c>
      <c r="G83" s="18">
        <v>4645.298294511912</v>
      </c>
      <c r="H83" s="17">
        <f>I83*$H$24</f>
        <v>0</v>
      </c>
      <c r="I83" s="19">
        <f>I84+I85</f>
        <v>0</v>
      </c>
      <c r="J83" s="5"/>
      <c r="K83" s="5"/>
    </row>
    <row r="84" spans="1:11" s="4" customFormat="1" ht="15" customHeight="1" x14ac:dyDescent="0.2">
      <c r="A84" s="323"/>
      <c r="B84" s="54"/>
      <c r="C84" s="55"/>
      <c r="D84" s="23" t="s">
        <v>50</v>
      </c>
      <c r="E84" s="56" t="s">
        <v>87</v>
      </c>
      <c r="F84" s="25">
        <v>20000</v>
      </c>
      <c r="G84" s="65">
        <v>2654.4561682925209</v>
      </c>
      <c r="H84" s="25">
        <f>I84*$H$24</f>
        <v>0</v>
      </c>
      <c r="I84" s="66">
        <v>0</v>
      </c>
      <c r="J84" s="5"/>
      <c r="K84" s="5"/>
    </row>
    <row r="85" spans="1:11" s="4" customFormat="1" ht="15" customHeight="1" x14ac:dyDescent="0.2">
      <c r="A85" s="323"/>
      <c r="B85" s="54"/>
      <c r="C85" s="55"/>
      <c r="D85" s="23" t="s">
        <v>52</v>
      </c>
      <c r="E85" s="56" t="s">
        <v>88</v>
      </c>
      <c r="F85" s="25">
        <v>15000</v>
      </c>
      <c r="G85" s="65">
        <v>1990.8421262193906</v>
      </c>
      <c r="H85" s="25">
        <f>I85*$H$24</f>
        <v>0</v>
      </c>
      <c r="I85" s="66">
        <v>0</v>
      </c>
      <c r="J85" s="5"/>
      <c r="K85" s="5"/>
    </row>
    <row r="86" spans="1:11" s="4" customFormat="1" ht="15" customHeight="1" x14ac:dyDescent="0.2">
      <c r="A86" s="323"/>
      <c r="B86" s="54"/>
      <c r="C86" s="55"/>
      <c r="D86" s="9"/>
      <c r="E86" s="56"/>
      <c r="F86" s="25"/>
      <c r="G86" s="65"/>
      <c r="H86" s="25"/>
      <c r="I86" s="66"/>
      <c r="J86" s="5"/>
      <c r="K86" s="5"/>
    </row>
    <row r="87" spans="1:11" s="4" customFormat="1" ht="15" customHeight="1" x14ac:dyDescent="0.2">
      <c r="A87" s="323"/>
      <c r="B87" s="54">
        <v>12</v>
      </c>
      <c r="C87" s="55">
        <v>0</v>
      </c>
      <c r="D87" s="9" t="s">
        <v>89</v>
      </c>
      <c r="E87" s="22" t="s">
        <v>90</v>
      </c>
      <c r="F87" s="17">
        <v>66400</v>
      </c>
      <c r="G87" s="20">
        <v>8812.7944787311699</v>
      </c>
      <c r="H87" s="17">
        <f>I87*$H$24</f>
        <v>40724.424570000003</v>
      </c>
      <c r="I87" s="21">
        <v>5405.06</v>
      </c>
      <c r="J87" s="3">
        <v>8812.7944787311699</v>
      </c>
      <c r="K87" s="3">
        <v>8641.1299999999992</v>
      </c>
    </row>
    <row r="88" spans="1:11" s="4" customFormat="1" ht="15" customHeight="1" x14ac:dyDescent="0.2">
      <c r="A88" s="67"/>
      <c r="B88" s="68"/>
      <c r="C88" s="69"/>
      <c r="D88" s="9"/>
      <c r="E88" s="61"/>
      <c r="F88" s="70"/>
      <c r="G88" s="71"/>
      <c r="H88" s="70">
        <f>I88*$H$24</f>
        <v>0</v>
      </c>
      <c r="I88" s="62"/>
      <c r="J88" s="5"/>
      <c r="K88" s="5"/>
    </row>
    <row r="89" spans="1:11" s="4" customFormat="1" ht="15" customHeight="1" x14ac:dyDescent="0.35">
      <c r="A89" s="72"/>
      <c r="B89" s="73"/>
      <c r="C89" s="74"/>
      <c r="D89" s="324" t="s">
        <v>91</v>
      </c>
      <c r="E89" s="324"/>
      <c r="F89" s="75">
        <f>F53+F55+F57+F59+F61+F65+F67+F69+F71+F74+F78+F83+F87</f>
        <v>413272</v>
      </c>
      <c r="G89" s="76">
        <v>54850.620479129298</v>
      </c>
      <c r="H89" s="77">
        <f>I89*$H$24</f>
        <v>237084.41959500001</v>
      </c>
      <c r="I89" s="78">
        <f>I53+I55+I57+I59+I61+I65+I67+I69+I71+I74+I78+I83+I87</f>
        <v>31466.51</v>
      </c>
      <c r="J89" s="79">
        <f>J53+J55+J57+J59+J61+J65+J67+J69+J71+J74+J78+J83+J87</f>
        <v>50286.385515959912</v>
      </c>
      <c r="K89" s="79">
        <f>K53+K55+K57+K59+K61+K65+K67+K69+K71+K74+K78+K83+K87</f>
        <v>47761.05999999999</v>
      </c>
    </row>
    <row r="90" spans="1:11" s="4" customFormat="1" ht="15" customHeight="1" x14ac:dyDescent="0.35">
      <c r="A90" s="80"/>
      <c r="B90" s="81"/>
      <c r="C90" s="81"/>
      <c r="D90" s="82"/>
      <c r="E90" s="82"/>
      <c r="F90" s="75"/>
      <c r="G90" s="76"/>
      <c r="H90" s="77"/>
      <c r="I90" s="78"/>
      <c r="J90" s="79"/>
      <c r="K90" s="79"/>
    </row>
    <row r="91" spans="1:11" s="4" customFormat="1" ht="15" customHeight="1" x14ac:dyDescent="0.2">
      <c r="A91" s="14"/>
      <c r="B91" s="83"/>
      <c r="C91" s="84"/>
      <c r="D91" s="9"/>
      <c r="E91" s="22" t="s">
        <v>92</v>
      </c>
      <c r="F91" s="85"/>
      <c r="G91" s="86"/>
      <c r="H91" s="85"/>
      <c r="I91" s="48"/>
      <c r="J91" s="5"/>
      <c r="K91" s="5"/>
    </row>
    <row r="92" spans="1:11" s="4" customFormat="1" ht="15" customHeight="1" x14ac:dyDescent="0.2">
      <c r="A92" s="14"/>
      <c r="B92" s="83">
        <v>9</v>
      </c>
      <c r="C92" s="84">
        <v>0</v>
      </c>
      <c r="D92" s="9" t="s">
        <v>93</v>
      </c>
      <c r="E92" s="22" t="s">
        <v>94</v>
      </c>
      <c r="F92" s="17">
        <v>65000</v>
      </c>
      <c r="G92" s="20">
        <v>8626.9825469506923</v>
      </c>
      <c r="H92" s="17">
        <f t="shared" ref="H92:H111" si="1">I92*$H$24</f>
        <v>74628.018564999991</v>
      </c>
      <c r="I92" s="21">
        <f>I93+I94+I96+I95</f>
        <v>9904.8402103656499</v>
      </c>
      <c r="J92" s="5">
        <v>9904.8402103656499</v>
      </c>
      <c r="K92" s="5">
        <v>9904.8402103656499</v>
      </c>
    </row>
    <row r="93" spans="1:11" s="4" customFormat="1" ht="15" customHeight="1" x14ac:dyDescent="0.2">
      <c r="A93" s="116">
        <v>42942</v>
      </c>
      <c r="B93" s="83"/>
      <c r="C93" s="84"/>
      <c r="D93" s="23" t="s">
        <v>50</v>
      </c>
      <c r="E93" s="61" t="s">
        <v>95</v>
      </c>
      <c r="F93" s="87"/>
      <c r="G93" s="88"/>
      <c r="H93" s="87">
        <f t="shared" si="1"/>
        <v>25000</v>
      </c>
      <c r="I93" s="62">
        <v>3318.0702103656513</v>
      </c>
      <c r="J93" s="5"/>
      <c r="K93" s="5"/>
    </row>
    <row r="94" spans="1:11" s="4" customFormat="1" ht="15" customHeight="1" x14ac:dyDescent="0.2">
      <c r="A94" s="234" t="s">
        <v>96</v>
      </c>
      <c r="B94" s="83"/>
      <c r="C94" s="84"/>
      <c r="D94" s="89" t="s">
        <v>52</v>
      </c>
      <c r="E94" s="61" t="s">
        <v>97</v>
      </c>
      <c r="F94" s="87"/>
      <c r="G94" s="88"/>
      <c r="H94" s="87">
        <f t="shared" si="1"/>
        <v>37336.76268</v>
      </c>
      <c r="I94" s="62">
        <v>4955.4399999999996</v>
      </c>
      <c r="J94" s="5"/>
      <c r="K94" s="5"/>
    </row>
    <row r="95" spans="1:11" s="4" customFormat="1" ht="15" customHeight="1" x14ac:dyDescent="0.2">
      <c r="A95" s="116">
        <v>42621</v>
      </c>
      <c r="B95" s="83"/>
      <c r="C95" s="84"/>
      <c r="D95" s="23" t="s">
        <v>53</v>
      </c>
      <c r="E95" s="61" t="s">
        <v>98</v>
      </c>
      <c r="F95" s="87"/>
      <c r="G95" s="88"/>
      <c r="H95" s="87">
        <f t="shared" si="1"/>
        <v>4315.7615999999998</v>
      </c>
      <c r="I95" s="62">
        <v>572.79999999999995</v>
      </c>
      <c r="J95" s="5"/>
      <c r="K95" s="5"/>
    </row>
    <row r="96" spans="1:11" s="4" customFormat="1" ht="15" customHeight="1" x14ac:dyDescent="0.2">
      <c r="A96" s="116">
        <v>42421</v>
      </c>
      <c r="B96" s="83"/>
      <c r="C96" s="84"/>
      <c r="D96" s="9"/>
      <c r="E96" s="61" t="s">
        <v>99</v>
      </c>
      <c r="F96" s="87"/>
      <c r="G96" s="88"/>
      <c r="H96" s="87">
        <f t="shared" si="1"/>
        <v>7975.4942850000007</v>
      </c>
      <c r="I96" s="62">
        <v>1058.53</v>
      </c>
      <c r="J96" s="5"/>
      <c r="K96" s="5"/>
    </row>
    <row r="97" spans="1:11" s="4" customFormat="1" ht="15" customHeight="1" x14ac:dyDescent="0.2">
      <c r="A97" s="116"/>
      <c r="B97" s="83"/>
      <c r="C97" s="84"/>
      <c r="D97" s="9"/>
      <c r="E97" s="61"/>
      <c r="F97" s="87"/>
      <c r="G97" s="88"/>
      <c r="H97" s="87">
        <f t="shared" si="1"/>
        <v>0</v>
      </c>
      <c r="I97" s="90"/>
      <c r="J97" s="5"/>
      <c r="K97" s="5"/>
    </row>
    <row r="98" spans="1:11" s="4" customFormat="1" ht="15" customHeight="1" x14ac:dyDescent="0.2">
      <c r="A98" s="116"/>
      <c r="B98" s="83">
        <v>8</v>
      </c>
      <c r="C98" s="84">
        <v>0</v>
      </c>
      <c r="D98" s="9" t="s">
        <v>100</v>
      </c>
      <c r="E98" s="22" t="s">
        <v>101</v>
      </c>
      <c r="F98" s="17">
        <v>90000</v>
      </c>
      <c r="G98" s="20">
        <v>11945.052757316344</v>
      </c>
      <c r="H98" s="17">
        <f t="shared" si="1"/>
        <v>127968.88645500003</v>
      </c>
      <c r="I98" s="21">
        <f>I101+I102+I103+I104+I105+I106</f>
        <v>16984.390000000003</v>
      </c>
      <c r="J98" s="5">
        <v>16984.390000000003</v>
      </c>
      <c r="K98" s="5">
        <v>16984.390000000003</v>
      </c>
    </row>
    <row r="99" spans="1:11" s="4" customFormat="1" ht="15" customHeight="1" x14ac:dyDescent="0.2">
      <c r="A99" s="116"/>
      <c r="B99" s="83"/>
      <c r="C99" s="84"/>
      <c r="D99" s="9"/>
      <c r="E99" s="24" t="s">
        <v>102</v>
      </c>
      <c r="F99" s="17"/>
      <c r="G99" s="91">
        <v>930</v>
      </c>
      <c r="H99" s="17">
        <f t="shared" si="1"/>
        <v>0</v>
      </c>
      <c r="I99" s="21"/>
      <c r="J99" s="5"/>
      <c r="K99" s="5"/>
    </row>
    <row r="100" spans="1:11" s="4" customFormat="1" ht="15" customHeight="1" x14ac:dyDescent="0.3">
      <c r="A100" s="116"/>
      <c r="B100" s="83"/>
      <c r="C100" s="84"/>
      <c r="D100" s="9"/>
      <c r="E100" s="92" t="s">
        <v>103</v>
      </c>
      <c r="F100" s="17"/>
      <c r="G100" s="93">
        <f>SUM(G98:G99)</f>
        <v>12875.052757316344</v>
      </c>
      <c r="H100" s="17">
        <f t="shared" si="1"/>
        <v>0</v>
      </c>
      <c r="I100" s="21"/>
      <c r="J100" s="5"/>
      <c r="K100" s="5"/>
    </row>
    <row r="101" spans="1:11" s="4" customFormat="1" ht="15" customHeight="1" x14ac:dyDescent="0.2">
      <c r="A101" s="116">
        <v>42942</v>
      </c>
      <c r="B101" s="83"/>
      <c r="C101" s="84"/>
      <c r="D101" s="9"/>
      <c r="E101" s="61" t="s">
        <v>95</v>
      </c>
      <c r="F101" s="70"/>
      <c r="G101" s="71"/>
      <c r="H101" s="70">
        <f t="shared" si="1"/>
        <v>29999.967960000002</v>
      </c>
      <c r="I101" s="62">
        <v>3981.68</v>
      </c>
      <c r="J101" s="5"/>
      <c r="K101" s="5"/>
    </row>
    <row r="102" spans="1:11" s="4" customFormat="1" ht="15" customHeight="1" x14ac:dyDescent="0.2">
      <c r="A102" s="234" t="s">
        <v>96</v>
      </c>
      <c r="B102" s="83"/>
      <c r="C102" s="84"/>
      <c r="D102" s="9"/>
      <c r="E102" s="61" t="s">
        <v>97</v>
      </c>
      <c r="F102" s="70"/>
      <c r="G102" s="71"/>
      <c r="H102" s="70">
        <f t="shared" si="1"/>
        <v>20590.582980000003</v>
      </c>
      <c r="I102" s="62">
        <v>2732.84</v>
      </c>
      <c r="J102" s="5"/>
      <c r="K102" s="5"/>
    </row>
    <row r="103" spans="1:11" s="4" customFormat="1" ht="15" customHeight="1" x14ac:dyDescent="0.2">
      <c r="A103" s="116">
        <v>42621</v>
      </c>
      <c r="B103" s="83"/>
      <c r="C103" s="84"/>
      <c r="D103" s="9"/>
      <c r="E103" s="61" t="s">
        <v>98</v>
      </c>
      <c r="F103" s="70"/>
      <c r="G103" s="71"/>
      <c r="H103" s="70">
        <f t="shared" si="1"/>
        <v>3293.7820200000006</v>
      </c>
      <c r="I103" s="62">
        <v>437.16</v>
      </c>
      <c r="J103" s="5"/>
      <c r="K103" s="5"/>
    </row>
    <row r="104" spans="1:11" s="4" customFormat="1" ht="15" customHeight="1" x14ac:dyDescent="0.2">
      <c r="A104" s="116">
        <v>42421</v>
      </c>
      <c r="B104" s="54"/>
      <c r="C104" s="55"/>
      <c r="D104" s="9"/>
      <c r="E104" s="61" t="s">
        <v>99</v>
      </c>
      <c r="F104" s="70"/>
      <c r="G104" s="71"/>
      <c r="H104" s="70">
        <f t="shared" si="1"/>
        <v>7092.9783000000007</v>
      </c>
      <c r="I104" s="62">
        <v>941.4</v>
      </c>
      <c r="J104" s="5"/>
      <c r="K104" s="5"/>
    </row>
    <row r="105" spans="1:11" s="4" customFormat="1" ht="15" customHeight="1" x14ac:dyDescent="0.2">
      <c r="A105" s="116">
        <v>42920</v>
      </c>
      <c r="B105" s="54"/>
      <c r="C105" s="55"/>
      <c r="D105" s="9"/>
      <c r="E105" s="61" t="s">
        <v>104</v>
      </c>
      <c r="F105" s="70"/>
      <c r="G105" s="71"/>
      <c r="H105" s="70">
        <f t="shared" si="1"/>
        <v>65173.425000000003</v>
      </c>
      <c r="I105" s="62">
        <v>8650</v>
      </c>
      <c r="J105" s="5"/>
      <c r="K105" s="5"/>
    </row>
    <row r="106" spans="1:11" s="4" customFormat="1" ht="15" customHeight="1" x14ac:dyDescent="0.2">
      <c r="A106" s="116">
        <v>42913</v>
      </c>
      <c r="B106" s="54"/>
      <c r="C106" s="55"/>
      <c r="D106" s="9"/>
      <c r="E106" s="61" t="s">
        <v>105</v>
      </c>
      <c r="F106" s="70"/>
      <c r="G106" s="71"/>
      <c r="H106" s="70">
        <f t="shared" si="1"/>
        <v>1818.1501950000002</v>
      </c>
      <c r="I106" s="62">
        <v>241.31</v>
      </c>
      <c r="J106" s="5"/>
      <c r="K106" s="5"/>
    </row>
    <row r="107" spans="1:11" s="4" customFormat="1" ht="15" customHeight="1" x14ac:dyDescent="0.2">
      <c r="A107" s="116"/>
      <c r="B107" s="54"/>
      <c r="C107" s="55"/>
      <c r="D107" s="9"/>
      <c r="E107" s="61"/>
      <c r="F107" s="70"/>
      <c r="G107" s="71"/>
      <c r="H107" s="70">
        <f t="shared" si="1"/>
        <v>0</v>
      </c>
      <c r="I107" s="62"/>
      <c r="J107" s="5"/>
      <c r="K107" s="5"/>
    </row>
    <row r="108" spans="1:11" s="4" customFormat="1" ht="15" customHeight="1" x14ac:dyDescent="0.2">
      <c r="A108" s="116">
        <v>4294</v>
      </c>
      <c r="B108" s="54">
        <v>0</v>
      </c>
      <c r="C108" s="55">
        <v>0</v>
      </c>
      <c r="D108" s="9" t="s">
        <v>106</v>
      </c>
      <c r="E108" s="22" t="s">
        <v>107</v>
      </c>
      <c r="F108" s="1">
        <v>450000</v>
      </c>
      <c r="G108" s="94">
        <v>59725.263786581723</v>
      </c>
      <c r="H108" s="1">
        <f t="shared" si="1"/>
        <v>475941.10428000009</v>
      </c>
      <c r="I108" s="95">
        <f>I109+I111+I113</f>
        <v>63168.240000000005</v>
      </c>
      <c r="J108" s="5">
        <v>82113.8</v>
      </c>
      <c r="K108" s="5">
        <f>K109+K111+K112+K113+K114</f>
        <v>80811.327873780625</v>
      </c>
    </row>
    <row r="109" spans="1:11" s="4" customFormat="1" ht="15" customHeight="1" x14ac:dyDescent="0.2">
      <c r="A109" s="116"/>
      <c r="B109" s="54"/>
      <c r="C109" s="55"/>
      <c r="D109" s="23" t="s">
        <v>50</v>
      </c>
      <c r="E109" s="325" t="s">
        <v>108</v>
      </c>
      <c r="F109" s="70"/>
      <c r="G109" s="71"/>
      <c r="H109" s="70">
        <f t="shared" si="1"/>
        <v>265051.65480000002</v>
      </c>
      <c r="I109" s="62">
        <v>35178.400000000001</v>
      </c>
      <c r="J109" s="5"/>
      <c r="K109" s="62">
        <v>35178.400000000001</v>
      </c>
    </row>
    <row r="110" spans="1:11" s="4" customFormat="1" ht="15" customHeight="1" x14ac:dyDescent="0.2">
      <c r="A110" s="116"/>
      <c r="B110" s="54"/>
      <c r="C110" s="55"/>
      <c r="D110" s="23"/>
      <c r="E110" s="325"/>
      <c r="F110" s="70"/>
      <c r="G110" s="71"/>
      <c r="H110" s="70">
        <f t="shared" si="1"/>
        <v>0</v>
      </c>
      <c r="I110" s="62"/>
      <c r="J110" s="5"/>
      <c r="K110" s="62"/>
    </row>
    <row r="111" spans="1:11" s="4" customFormat="1" ht="15" customHeight="1" x14ac:dyDescent="0.2">
      <c r="A111" s="116"/>
      <c r="B111" s="54"/>
      <c r="C111" s="55"/>
      <c r="D111" s="23" t="s">
        <v>52</v>
      </c>
      <c r="E111" s="61" t="s">
        <v>109</v>
      </c>
      <c r="F111" s="70"/>
      <c r="G111" s="71"/>
      <c r="H111" s="70">
        <f t="shared" si="1"/>
        <v>210889.44948000001</v>
      </c>
      <c r="I111" s="62">
        <v>27989.84</v>
      </c>
      <c r="J111" s="5"/>
      <c r="K111" s="62">
        <f>'[1]Doznake d.'!C16</f>
        <v>31939.64</v>
      </c>
    </row>
    <row r="112" spans="1:11" s="4" customFormat="1" ht="15" customHeight="1" x14ac:dyDescent="0.2">
      <c r="A112" s="116"/>
      <c r="B112" s="54"/>
      <c r="C112" s="55"/>
      <c r="D112" s="23" t="s">
        <v>53</v>
      </c>
      <c r="E112" s="96" t="s">
        <v>110</v>
      </c>
      <c r="F112" s="70"/>
      <c r="G112" s="71"/>
      <c r="H112" s="70"/>
      <c r="I112" s="62"/>
      <c r="J112" s="5"/>
      <c r="K112" s="97">
        <f>-(K281+K257+K195)</f>
        <v>11182.6</v>
      </c>
    </row>
    <row r="113" spans="1:11" s="4" customFormat="1" ht="15" customHeight="1" x14ac:dyDescent="0.35">
      <c r="A113" s="116"/>
      <c r="B113" s="54"/>
      <c r="C113" s="55"/>
      <c r="D113" s="23" t="s">
        <v>55</v>
      </c>
      <c r="E113" s="96" t="s">
        <v>110</v>
      </c>
      <c r="F113" s="70"/>
      <c r="G113" s="71"/>
      <c r="H113" s="70"/>
      <c r="I113" s="98">
        <v>0</v>
      </c>
      <c r="J113" s="5"/>
      <c r="K113" s="99">
        <f>-K238-K272</f>
        <v>1767.4378737806092</v>
      </c>
    </row>
    <row r="114" spans="1:11" s="4" customFormat="1" ht="15" customHeight="1" x14ac:dyDescent="0.35">
      <c r="A114" s="116"/>
      <c r="B114" s="54"/>
      <c r="C114" s="55"/>
      <c r="D114" s="23" t="s">
        <v>57</v>
      </c>
      <c r="E114" s="96" t="s">
        <v>111</v>
      </c>
      <c r="F114" s="70"/>
      <c r="G114" s="71"/>
      <c r="H114" s="70"/>
      <c r="I114" s="98"/>
      <c r="J114" s="5"/>
      <c r="K114" s="99">
        <f>-K302</f>
        <v>743.25</v>
      </c>
    </row>
    <row r="115" spans="1:11" s="4" customFormat="1" ht="15" customHeight="1" x14ac:dyDescent="0.35">
      <c r="A115" s="116"/>
      <c r="B115" s="54"/>
      <c r="C115" s="55"/>
      <c r="D115" s="9"/>
      <c r="E115" s="96"/>
      <c r="F115" s="70"/>
      <c r="G115" s="71"/>
      <c r="H115" s="70"/>
      <c r="I115" s="98"/>
      <c r="J115" s="5"/>
      <c r="K115" s="100"/>
    </row>
    <row r="116" spans="1:11" s="4" customFormat="1" ht="14.25" customHeight="1" x14ac:dyDescent="0.2">
      <c r="A116" s="116"/>
      <c r="B116" s="83">
        <v>13</v>
      </c>
      <c r="C116" s="84">
        <v>0</v>
      </c>
      <c r="D116" s="9" t="s">
        <v>112</v>
      </c>
      <c r="E116" s="22" t="s">
        <v>113</v>
      </c>
      <c r="F116" s="1">
        <v>17000</v>
      </c>
      <c r="G116" s="94">
        <v>2256.2877430486428</v>
      </c>
      <c r="H116" s="1">
        <f>I116*$H$24</f>
        <v>17137.220250000006</v>
      </c>
      <c r="I116" s="95">
        <f>I117+I118+I119</f>
        <v>2274.5000000000005</v>
      </c>
      <c r="J116" s="5">
        <f>I116</f>
        <v>2274.5000000000005</v>
      </c>
      <c r="K116" s="5">
        <f>J116</f>
        <v>2274.5000000000005</v>
      </c>
    </row>
    <row r="117" spans="1:11" s="4" customFormat="1" ht="15" customHeight="1" x14ac:dyDescent="0.2">
      <c r="A117" s="116">
        <v>42942</v>
      </c>
      <c r="B117" s="83"/>
      <c r="C117" s="84"/>
      <c r="D117" s="23" t="s">
        <v>50</v>
      </c>
      <c r="E117" s="61" t="s">
        <v>95</v>
      </c>
      <c r="F117" s="1"/>
      <c r="G117" s="94"/>
      <c r="H117" s="1">
        <f>I117*$H$24</f>
        <v>15960.934110000002</v>
      </c>
      <c r="I117" s="62">
        <v>2118.38</v>
      </c>
      <c r="J117" s="5"/>
      <c r="K117" s="5"/>
    </row>
    <row r="118" spans="1:11" s="4" customFormat="1" ht="15" customHeight="1" x14ac:dyDescent="0.2">
      <c r="A118" s="234" t="s">
        <v>96</v>
      </c>
      <c r="B118" s="83"/>
      <c r="C118" s="84"/>
      <c r="D118" s="89" t="s">
        <v>52</v>
      </c>
      <c r="E118" s="61" t="s">
        <v>97</v>
      </c>
      <c r="F118" s="70"/>
      <c r="G118" s="101"/>
      <c r="H118" s="70">
        <f>I118*$H$24</f>
        <v>738.75772500000005</v>
      </c>
      <c r="I118" s="102">
        <f>26.55+70+1.5</f>
        <v>98.05</v>
      </c>
      <c r="J118" s="5"/>
      <c r="K118" s="5"/>
    </row>
    <row r="119" spans="1:11" s="4" customFormat="1" ht="15" customHeight="1" x14ac:dyDescent="0.2">
      <c r="A119" s="116">
        <v>42621</v>
      </c>
      <c r="B119" s="83"/>
      <c r="C119" s="84"/>
      <c r="D119" s="23" t="s">
        <v>53</v>
      </c>
      <c r="E119" s="61" t="s">
        <v>98</v>
      </c>
      <c r="F119" s="70"/>
      <c r="G119" s="71"/>
      <c r="H119" s="70">
        <f>I119*$H$24</f>
        <v>437.52841500000005</v>
      </c>
      <c r="I119" s="62">
        <v>58.07</v>
      </c>
      <c r="J119" s="5"/>
      <c r="K119" s="5"/>
    </row>
    <row r="120" spans="1:11" s="4" customFormat="1" ht="15" customHeight="1" x14ac:dyDescent="0.2">
      <c r="A120" s="116"/>
      <c r="B120" s="83"/>
      <c r="C120" s="84"/>
      <c r="D120" s="9"/>
      <c r="E120" s="61"/>
      <c r="F120" s="70"/>
      <c r="G120" s="71"/>
      <c r="H120" s="70"/>
      <c r="I120" s="62"/>
      <c r="J120" s="5"/>
      <c r="K120" s="5"/>
    </row>
    <row r="121" spans="1:11" s="4" customFormat="1" ht="15" customHeight="1" x14ac:dyDescent="0.2">
      <c r="A121" s="116"/>
      <c r="B121" s="83">
        <v>0</v>
      </c>
      <c r="C121" s="84">
        <v>8</v>
      </c>
      <c r="D121" s="9" t="s">
        <v>114</v>
      </c>
      <c r="E121" s="22" t="s">
        <v>115</v>
      </c>
      <c r="F121" s="70"/>
      <c r="G121" s="71"/>
      <c r="H121" s="70">
        <f>I121*$H$24</f>
        <v>0</v>
      </c>
      <c r="I121" s="62"/>
      <c r="J121" s="5"/>
      <c r="K121" s="5"/>
    </row>
    <row r="122" spans="1:11" s="4" customFormat="1" ht="15" customHeight="1" x14ac:dyDescent="0.2">
      <c r="A122" s="116"/>
      <c r="B122" s="83"/>
      <c r="C122" s="84"/>
      <c r="D122" s="9" t="s">
        <v>116</v>
      </c>
      <c r="E122" s="22" t="s">
        <v>117</v>
      </c>
      <c r="F122" s="70"/>
      <c r="G122" s="71"/>
      <c r="H122" s="70">
        <f>I122*$H$24</f>
        <v>0</v>
      </c>
      <c r="I122" s="62"/>
      <c r="J122" s="5"/>
      <c r="K122" s="5"/>
    </row>
    <row r="123" spans="1:11" s="4" customFormat="1" ht="15" customHeight="1" x14ac:dyDescent="0.2">
      <c r="A123" s="116"/>
      <c r="B123" s="83"/>
      <c r="C123" s="84"/>
      <c r="D123" s="9"/>
      <c r="E123" s="22" t="s">
        <v>118</v>
      </c>
      <c r="F123" s="1">
        <v>81761.75</v>
      </c>
      <c r="G123" s="94">
        <v>10851.649080894551</v>
      </c>
      <c r="H123" s="103">
        <f>I123*$H$24</f>
        <v>68566.737765000013</v>
      </c>
      <c r="I123" s="95">
        <f>I127+I128+I129+I130+I131+I132+I133</f>
        <v>9100.3700000000008</v>
      </c>
      <c r="J123" s="3">
        <f>G126</f>
        <v>17291.359080894552</v>
      </c>
      <c r="K123" s="3">
        <f>K127+K128+K129+K130+K131+K132+K133</f>
        <v>17288.579999999998</v>
      </c>
    </row>
    <row r="124" spans="1:11" s="4" customFormat="1" ht="15" customHeight="1" x14ac:dyDescent="0.2">
      <c r="A124" s="116"/>
      <c r="B124" s="83"/>
      <c r="C124" s="84"/>
      <c r="D124" s="9"/>
      <c r="E124" s="24" t="s">
        <v>119</v>
      </c>
      <c r="F124" s="17"/>
      <c r="G124" s="91">
        <v>3911.5</v>
      </c>
      <c r="H124" s="103"/>
      <c r="I124" s="95"/>
      <c r="J124" s="95"/>
      <c r="K124" s="95"/>
    </row>
    <row r="125" spans="1:11" s="4" customFormat="1" ht="15" customHeight="1" x14ac:dyDescent="0.2">
      <c r="A125" s="116"/>
      <c r="B125" s="83"/>
      <c r="C125" s="84"/>
      <c r="D125" s="9"/>
      <c r="E125" s="24" t="s">
        <v>119</v>
      </c>
      <c r="F125" s="17"/>
      <c r="G125" s="91">
        <v>2528.21</v>
      </c>
      <c r="H125" s="17"/>
      <c r="I125" s="21"/>
      <c r="J125" s="5"/>
      <c r="K125" s="5"/>
    </row>
    <row r="126" spans="1:11" s="4" customFormat="1" ht="15" customHeight="1" x14ac:dyDescent="0.2">
      <c r="A126" s="116"/>
      <c r="B126" s="83"/>
      <c r="C126" s="84"/>
      <c r="D126" s="9"/>
      <c r="E126" s="92" t="s">
        <v>103</v>
      </c>
      <c r="F126" s="104"/>
      <c r="G126" s="105">
        <f>SUM(G123:G125)</f>
        <v>17291.359080894552</v>
      </c>
      <c r="H126" s="17"/>
      <c r="I126" s="21"/>
      <c r="J126" s="5"/>
      <c r="K126" s="5"/>
    </row>
    <row r="127" spans="1:11" s="4" customFormat="1" ht="15" customHeight="1" x14ac:dyDescent="0.2">
      <c r="A127" s="116">
        <v>42941</v>
      </c>
      <c r="B127" s="83"/>
      <c r="C127" s="84"/>
      <c r="D127" s="23" t="s">
        <v>50</v>
      </c>
      <c r="E127" s="106" t="s">
        <v>120</v>
      </c>
      <c r="F127" s="70"/>
      <c r="G127" s="71"/>
      <c r="H127" s="107">
        <f t="shared" ref="H127:H133" si="2">I127*$H$24</f>
        <v>10925.025000000001</v>
      </c>
      <c r="I127" s="62">
        <v>1450</v>
      </c>
      <c r="J127" s="5"/>
      <c r="K127" s="65">
        <v>1450</v>
      </c>
    </row>
    <row r="128" spans="1:11" s="4" customFormat="1" ht="15" customHeight="1" x14ac:dyDescent="0.2">
      <c r="A128" s="116">
        <v>42913</v>
      </c>
      <c r="B128" s="83"/>
      <c r="C128" s="84"/>
      <c r="D128" s="23" t="s">
        <v>52</v>
      </c>
      <c r="E128" s="106" t="s">
        <v>121</v>
      </c>
      <c r="F128" s="70"/>
      <c r="G128" s="71"/>
      <c r="H128" s="107">
        <f t="shared" si="2"/>
        <v>1187.73858</v>
      </c>
      <c r="I128" s="62">
        <v>157.63999999999999</v>
      </c>
      <c r="J128" s="5"/>
      <c r="K128" s="65">
        <v>157.63999999999999</v>
      </c>
    </row>
    <row r="129" spans="1:11" s="4" customFormat="1" ht="15" customHeight="1" x14ac:dyDescent="0.2">
      <c r="A129" s="234" t="s">
        <v>96</v>
      </c>
      <c r="B129" s="83"/>
      <c r="C129" s="84"/>
      <c r="D129" s="23" t="s">
        <v>53</v>
      </c>
      <c r="E129" s="106" t="s">
        <v>122</v>
      </c>
      <c r="F129" s="70"/>
      <c r="G129" s="71"/>
      <c r="H129" s="107">
        <f t="shared" si="2"/>
        <v>0</v>
      </c>
      <c r="I129" s="62"/>
      <c r="J129" s="5"/>
      <c r="K129" s="65">
        <v>2936</v>
      </c>
    </row>
    <row r="130" spans="1:11" s="4" customFormat="1" ht="15" customHeight="1" x14ac:dyDescent="0.2">
      <c r="A130" s="116">
        <v>42613</v>
      </c>
      <c r="B130" s="83"/>
      <c r="C130" s="84"/>
      <c r="D130" s="23" t="s">
        <v>55</v>
      </c>
      <c r="E130" s="106" t="s">
        <v>123</v>
      </c>
      <c r="F130" s="70"/>
      <c r="G130" s="71"/>
      <c r="H130" s="107">
        <f t="shared" si="2"/>
        <v>602.76</v>
      </c>
      <c r="I130" s="62">
        <v>80</v>
      </c>
      <c r="J130" s="5"/>
      <c r="K130" s="65">
        <v>80</v>
      </c>
    </row>
    <row r="131" spans="1:11" s="4" customFormat="1" ht="15" customHeight="1" x14ac:dyDescent="0.2">
      <c r="A131" s="116" t="s">
        <v>124</v>
      </c>
      <c r="B131" s="83"/>
      <c r="C131" s="84"/>
      <c r="D131" s="23" t="s">
        <v>57</v>
      </c>
      <c r="E131" s="106" t="s">
        <v>125</v>
      </c>
      <c r="F131" s="70"/>
      <c r="G131" s="71"/>
      <c r="H131" s="107">
        <f t="shared" si="2"/>
        <v>45311.654205000006</v>
      </c>
      <c r="I131" s="62">
        <f>777.87+5236.02</f>
        <v>6013.89</v>
      </c>
      <c r="J131" s="5"/>
      <c r="K131" s="65">
        <f>6026.96+325.02+1197.48+3119.03</f>
        <v>10668.49</v>
      </c>
    </row>
    <row r="132" spans="1:11" s="4" customFormat="1" ht="15" customHeight="1" x14ac:dyDescent="0.2">
      <c r="A132" s="116">
        <v>42421</v>
      </c>
      <c r="B132" s="83"/>
      <c r="C132" s="84"/>
      <c r="D132" s="23" t="s">
        <v>126</v>
      </c>
      <c r="E132" s="106" t="s">
        <v>127</v>
      </c>
      <c r="F132" s="70"/>
      <c r="G132" s="71"/>
      <c r="H132" s="107">
        <f t="shared" si="2"/>
        <v>10539.55998</v>
      </c>
      <c r="I132" s="62">
        <v>1398.84</v>
      </c>
      <c r="J132" s="5"/>
      <c r="K132" s="65">
        <v>1584.78</v>
      </c>
    </row>
    <row r="133" spans="1:11" s="4" customFormat="1" ht="15" customHeight="1" x14ac:dyDescent="0.2">
      <c r="A133" s="116">
        <v>42616</v>
      </c>
      <c r="B133" s="83"/>
      <c r="C133" s="84"/>
      <c r="D133" s="108" t="s">
        <v>128</v>
      </c>
      <c r="E133" s="109" t="s">
        <v>129</v>
      </c>
      <c r="F133" s="17"/>
      <c r="G133" s="20"/>
      <c r="H133" s="110">
        <f t="shared" si="2"/>
        <v>0</v>
      </c>
      <c r="I133" s="21"/>
      <c r="J133" s="5"/>
      <c r="K133" s="65">
        <v>411.67</v>
      </c>
    </row>
    <row r="134" spans="1:11" s="4" customFormat="1" ht="15" customHeight="1" x14ac:dyDescent="0.2">
      <c r="A134" s="116"/>
      <c r="B134" s="83"/>
      <c r="C134" s="84"/>
      <c r="D134" s="9"/>
      <c r="E134" s="104"/>
      <c r="F134" s="104"/>
      <c r="G134" s="105"/>
      <c r="H134" s="111"/>
      <c r="I134" s="112"/>
      <c r="J134" s="5"/>
      <c r="K134" s="5"/>
    </row>
    <row r="135" spans="1:11" s="4" customFormat="1" ht="15" customHeight="1" x14ac:dyDescent="0.2">
      <c r="A135" s="116"/>
      <c r="B135" s="83"/>
      <c r="C135" s="84"/>
      <c r="D135" s="113" t="s">
        <v>130</v>
      </c>
      <c r="E135" s="22" t="s">
        <v>131</v>
      </c>
      <c r="F135" s="17">
        <v>15000</v>
      </c>
      <c r="G135" s="20">
        <v>1990.8421262193906</v>
      </c>
      <c r="H135" s="17">
        <f t="shared" ref="H135:H140" si="3">I135*$H$24</f>
        <v>15061.992915000003</v>
      </c>
      <c r="I135" s="21">
        <f>I136+I137+I138</f>
        <v>1999.0700000000002</v>
      </c>
      <c r="J135" s="5">
        <v>1999.0700000000002</v>
      </c>
      <c r="K135" s="5">
        <v>1999.0700000000002</v>
      </c>
    </row>
    <row r="136" spans="1:11" s="4" customFormat="1" ht="15" customHeight="1" x14ac:dyDescent="0.2">
      <c r="A136" s="116">
        <v>42941</v>
      </c>
      <c r="B136" s="83"/>
      <c r="C136" s="84"/>
      <c r="D136" s="108" t="s">
        <v>50</v>
      </c>
      <c r="E136" s="106" t="s">
        <v>120</v>
      </c>
      <c r="F136" s="70"/>
      <c r="G136" s="71"/>
      <c r="H136" s="107">
        <f t="shared" si="3"/>
        <v>10925.025000000001</v>
      </c>
      <c r="I136" s="62">
        <v>1450</v>
      </c>
      <c r="J136" s="5"/>
      <c r="K136" s="5"/>
    </row>
    <row r="137" spans="1:11" s="4" customFormat="1" ht="15" customHeight="1" x14ac:dyDescent="0.2">
      <c r="A137" s="116">
        <v>42913</v>
      </c>
      <c r="B137" s="83"/>
      <c r="C137" s="84"/>
      <c r="D137" s="108" t="s">
        <v>52</v>
      </c>
      <c r="E137" s="106" t="s">
        <v>121</v>
      </c>
      <c r="F137" s="70"/>
      <c r="G137" s="71"/>
      <c r="H137" s="107">
        <f t="shared" si="3"/>
        <v>1129.7229300000001</v>
      </c>
      <c r="I137" s="62">
        <v>149.94</v>
      </c>
      <c r="J137" s="5"/>
      <c r="K137" s="5"/>
    </row>
    <row r="138" spans="1:11" s="4" customFormat="1" ht="15" customHeight="1" x14ac:dyDescent="0.2">
      <c r="A138" s="116">
        <v>42421</v>
      </c>
      <c r="B138" s="83"/>
      <c r="C138" s="84"/>
      <c r="D138" s="108" t="s">
        <v>53</v>
      </c>
      <c r="E138" s="106" t="s">
        <v>127</v>
      </c>
      <c r="F138" s="70"/>
      <c r="G138" s="71"/>
      <c r="H138" s="107">
        <f t="shared" si="3"/>
        <v>3007.2449850000003</v>
      </c>
      <c r="I138" s="62">
        <v>399.13</v>
      </c>
      <c r="J138" s="5"/>
      <c r="K138" s="5"/>
    </row>
    <row r="139" spans="1:11" s="4" customFormat="1" ht="15" customHeight="1" x14ac:dyDescent="0.2">
      <c r="A139" s="116"/>
      <c r="B139" s="83"/>
      <c r="C139" s="84"/>
      <c r="D139" s="9"/>
      <c r="E139" s="114"/>
      <c r="F139" s="17"/>
      <c r="G139" s="20"/>
      <c r="H139" s="17">
        <f t="shared" si="3"/>
        <v>0</v>
      </c>
      <c r="I139" s="21"/>
      <c r="J139" s="5"/>
      <c r="K139" s="5"/>
    </row>
    <row r="140" spans="1:11" s="4" customFormat="1" ht="15" customHeight="1" x14ac:dyDescent="0.2">
      <c r="A140" s="116"/>
      <c r="B140" s="83">
        <v>0</v>
      </c>
      <c r="C140" s="84">
        <v>17</v>
      </c>
      <c r="D140" s="9" t="s">
        <v>132</v>
      </c>
      <c r="E140" s="22" t="s">
        <v>133</v>
      </c>
      <c r="F140" s="17">
        <v>254700</v>
      </c>
      <c r="G140" s="20">
        <v>33804.499303205303</v>
      </c>
      <c r="H140" s="17">
        <f t="shared" si="3"/>
        <v>213398.36263500003</v>
      </c>
      <c r="I140" s="21">
        <f>I145+I156+I165</f>
        <v>28322.83</v>
      </c>
      <c r="J140" s="3">
        <f>G143</f>
        <v>41329.869303205305</v>
      </c>
      <c r="K140" s="3">
        <f>K145+K156+K165</f>
        <v>41330.570000000007</v>
      </c>
    </row>
    <row r="141" spans="1:11" s="4" customFormat="1" ht="15" customHeight="1" x14ac:dyDescent="0.2">
      <c r="A141" s="116"/>
      <c r="B141" s="83"/>
      <c r="C141" s="84"/>
      <c r="D141" s="9"/>
      <c r="E141" s="24" t="s">
        <v>134</v>
      </c>
      <c r="F141" s="17"/>
      <c r="G141" s="91">
        <f>1500*3</f>
        <v>4500</v>
      </c>
      <c r="H141" s="17"/>
      <c r="I141" s="21"/>
      <c r="J141" s="5"/>
      <c r="K141" s="5"/>
    </row>
    <row r="142" spans="1:11" s="4" customFormat="1" ht="15" customHeight="1" x14ac:dyDescent="0.2">
      <c r="A142" s="116"/>
      <c r="B142" s="83"/>
      <c r="C142" s="84"/>
      <c r="D142" s="9"/>
      <c r="E142" s="24" t="s">
        <v>135</v>
      </c>
      <c r="F142" s="17"/>
      <c r="G142" s="91">
        <v>3025.37</v>
      </c>
      <c r="H142" s="17"/>
      <c r="I142" s="21"/>
      <c r="J142" s="5"/>
      <c r="K142" s="5"/>
    </row>
    <row r="143" spans="1:11" s="4" customFormat="1" ht="15" customHeight="1" x14ac:dyDescent="0.2">
      <c r="A143" s="116"/>
      <c r="B143" s="83"/>
      <c r="C143" s="84"/>
      <c r="D143" s="9"/>
      <c r="E143" s="92" t="s">
        <v>103</v>
      </c>
      <c r="F143" s="104"/>
      <c r="G143" s="240">
        <f>SUM(G140:G142)</f>
        <v>41329.869303205305</v>
      </c>
      <c r="H143" s="17"/>
      <c r="I143" s="21"/>
      <c r="J143" s="5"/>
      <c r="K143" s="5"/>
    </row>
    <row r="144" spans="1:11" s="4" customFormat="1" ht="15" customHeight="1" x14ac:dyDescent="0.2">
      <c r="A144" s="116"/>
      <c r="B144" s="83"/>
      <c r="C144" s="84"/>
      <c r="D144" s="9"/>
      <c r="E144" s="92"/>
      <c r="F144" s="17"/>
      <c r="G144" s="91"/>
      <c r="H144" s="17"/>
      <c r="I144" s="21"/>
      <c r="J144" s="5"/>
      <c r="K144" s="5"/>
    </row>
    <row r="145" spans="1:11" s="4" customFormat="1" ht="15" customHeight="1" x14ac:dyDescent="0.2">
      <c r="A145" s="116"/>
      <c r="B145" s="83">
        <v>0</v>
      </c>
      <c r="C145" s="84">
        <v>1</v>
      </c>
      <c r="D145" s="9" t="s">
        <v>47</v>
      </c>
      <c r="E145" s="22" t="s">
        <v>136</v>
      </c>
      <c r="F145" s="17"/>
      <c r="G145" s="26">
        <f>G143/3</f>
        <v>13776.623101068435</v>
      </c>
      <c r="H145" s="17">
        <f t="shared" ref="H145:H213" si="4">I145*$H$24</f>
        <v>118996.42713000001</v>
      </c>
      <c r="I145" s="27">
        <f>I148+I149+I150+I151+I152+I153+I154</f>
        <v>15793.54</v>
      </c>
      <c r="J145" s="3">
        <v>0</v>
      </c>
      <c r="K145" s="238">
        <f>K148+K149+K150+K151+K152+K153+K154</f>
        <v>15793.54</v>
      </c>
    </row>
    <row r="146" spans="1:11" s="4" customFormat="1" ht="15" customHeight="1" x14ac:dyDescent="0.2">
      <c r="A146" s="116"/>
      <c r="B146" s="83"/>
      <c r="C146" s="84"/>
      <c r="D146" s="9"/>
      <c r="E146" s="24" t="s">
        <v>102</v>
      </c>
      <c r="F146" s="17"/>
      <c r="G146" s="91">
        <v>3025.37</v>
      </c>
      <c r="H146" s="17"/>
      <c r="I146" s="21"/>
      <c r="J146" s="5"/>
      <c r="K146" s="5"/>
    </row>
    <row r="147" spans="1:11" s="4" customFormat="1" ht="15" customHeight="1" x14ac:dyDescent="0.3">
      <c r="A147" s="116"/>
      <c r="B147" s="83"/>
      <c r="C147" s="84"/>
      <c r="D147" s="9"/>
      <c r="E147" s="92" t="s">
        <v>103</v>
      </c>
      <c r="F147" s="17"/>
      <c r="G147" s="93">
        <f>SUM(G145:G146)</f>
        <v>16801.993101068434</v>
      </c>
      <c r="H147" s="17"/>
      <c r="I147" s="21"/>
      <c r="J147" s="5"/>
      <c r="K147" s="5"/>
    </row>
    <row r="148" spans="1:11" s="4" customFormat="1" ht="15" customHeight="1" x14ac:dyDescent="0.2">
      <c r="A148" s="116">
        <v>42941</v>
      </c>
      <c r="B148" s="83"/>
      <c r="C148" s="84"/>
      <c r="D148" s="23" t="s">
        <v>50</v>
      </c>
      <c r="E148" s="106" t="s">
        <v>120</v>
      </c>
      <c r="F148" s="25"/>
      <c r="G148" s="26"/>
      <c r="H148" s="115">
        <f t="shared" si="4"/>
        <v>3139.4001150000004</v>
      </c>
      <c r="I148" s="62">
        <v>416.67</v>
      </c>
      <c r="J148" s="5"/>
      <c r="K148" s="62">
        <v>416.67</v>
      </c>
    </row>
    <row r="149" spans="1:11" s="4" customFormat="1" ht="15" customHeight="1" x14ac:dyDescent="0.2">
      <c r="A149" s="116">
        <v>42913</v>
      </c>
      <c r="B149" s="83"/>
      <c r="C149" s="84"/>
      <c r="D149" s="23" t="s">
        <v>52</v>
      </c>
      <c r="E149" s="106" t="s">
        <v>121</v>
      </c>
      <c r="F149" s="25"/>
      <c r="G149" s="26"/>
      <c r="H149" s="115">
        <f t="shared" si="4"/>
        <v>878.67339000000004</v>
      </c>
      <c r="I149" s="62">
        <v>116.62</v>
      </c>
      <c r="J149" s="5"/>
      <c r="K149" s="62">
        <v>116.62</v>
      </c>
    </row>
    <row r="150" spans="1:11" s="4" customFormat="1" ht="15" customHeight="1" x14ac:dyDescent="0.2">
      <c r="A150" s="234" t="s">
        <v>137</v>
      </c>
      <c r="B150" s="83"/>
      <c r="C150" s="84"/>
      <c r="D150" s="23" t="s">
        <v>53</v>
      </c>
      <c r="E150" s="106" t="s">
        <v>122</v>
      </c>
      <c r="F150" s="25"/>
      <c r="G150" s="26"/>
      <c r="H150" s="115">
        <f t="shared" si="4"/>
        <v>0</v>
      </c>
      <c r="I150" s="62"/>
      <c r="J150" s="5"/>
      <c r="K150" s="62"/>
    </row>
    <row r="151" spans="1:11" s="4" customFormat="1" ht="15" customHeight="1" x14ac:dyDescent="0.2">
      <c r="A151" s="116">
        <v>42613</v>
      </c>
      <c r="B151" s="83"/>
      <c r="C151" s="84"/>
      <c r="D151" s="23" t="s">
        <v>55</v>
      </c>
      <c r="E151" s="106" t="s">
        <v>123</v>
      </c>
      <c r="F151" s="25"/>
      <c r="G151" s="26"/>
      <c r="H151" s="115">
        <f t="shared" si="4"/>
        <v>5841.1211250000006</v>
      </c>
      <c r="I151" s="62">
        <v>775.25</v>
      </c>
      <c r="J151" s="5"/>
      <c r="K151" s="62">
        <v>775.25</v>
      </c>
    </row>
    <row r="152" spans="1:11" s="4" customFormat="1" ht="15" customHeight="1" x14ac:dyDescent="0.2">
      <c r="A152" s="234" t="s">
        <v>138</v>
      </c>
      <c r="B152" s="83"/>
      <c r="C152" s="84"/>
      <c r="D152" s="23" t="s">
        <v>57</v>
      </c>
      <c r="E152" s="106" t="s">
        <v>125</v>
      </c>
      <c r="F152" s="25"/>
      <c r="G152" s="26"/>
      <c r="H152" s="115">
        <f t="shared" si="4"/>
        <v>78509.490000000005</v>
      </c>
      <c r="I152" s="62">
        <v>10420</v>
      </c>
      <c r="J152" s="5"/>
      <c r="K152" s="62">
        <v>10420</v>
      </c>
    </row>
    <row r="153" spans="1:11" s="4" customFormat="1" ht="15" customHeight="1" x14ac:dyDescent="0.2">
      <c r="A153" s="116">
        <v>42421</v>
      </c>
      <c r="B153" s="83"/>
      <c r="C153" s="84"/>
      <c r="D153" s="23" t="s">
        <v>126</v>
      </c>
      <c r="E153" s="106" t="s">
        <v>127</v>
      </c>
      <c r="F153" s="25"/>
      <c r="G153" s="26"/>
      <c r="H153" s="115">
        <f t="shared" si="4"/>
        <v>30627.7425</v>
      </c>
      <c r="I153" s="62">
        <v>4065</v>
      </c>
      <c r="J153" s="5"/>
      <c r="K153" s="62">
        <v>4065</v>
      </c>
    </row>
    <row r="154" spans="1:11" s="4" customFormat="1" ht="15" customHeight="1" x14ac:dyDescent="0.2">
      <c r="A154" s="116">
        <v>42616</v>
      </c>
      <c r="B154" s="83"/>
      <c r="C154" s="84"/>
      <c r="D154" s="108" t="s">
        <v>128</v>
      </c>
      <c r="E154" s="109" t="s">
        <v>129</v>
      </c>
      <c r="F154" s="17"/>
      <c r="G154" s="20"/>
      <c r="H154" s="117">
        <f t="shared" si="4"/>
        <v>0</v>
      </c>
      <c r="I154" s="21"/>
      <c r="J154" s="5"/>
      <c r="K154" s="21"/>
    </row>
    <row r="155" spans="1:11" s="120" customFormat="1" ht="15" customHeight="1" x14ac:dyDescent="0.2">
      <c r="A155" s="116"/>
      <c r="B155" s="83"/>
      <c r="C155" s="84"/>
      <c r="D155" s="9"/>
      <c r="E155" s="17"/>
      <c r="F155" s="17"/>
      <c r="G155" s="118"/>
      <c r="H155" s="17">
        <f t="shared" si="4"/>
        <v>0</v>
      </c>
      <c r="I155" s="119"/>
      <c r="J155" s="5"/>
      <c r="K155" s="5"/>
    </row>
    <row r="156" spans="1:11" s="4" customFormat="1" ht="15" customHeight="1" x14ac:dyDescent="0.2">
      <c r="A156" s="116" t="s">
        <v>47</v>
      </c>
      <c r="B156" s="83">
        <v>0</v>
      </c>
      <c r="C156" s="84">
        <v>14</v>
      </c>
      <c r="D156" s="9"/>
      <c r="E156" s="22" t="s">
        <v>139</v>
      </c>
      <c r="F156" s="17"/>
      <c r="G156" s="239">
        <f>G143/3</f>
        <v>13776.623101068435</v>
      </c>
      <c r="H156" s="17">
        <f t="shared" si="4"/>
        <v>47113.605225000007</v>
      </c>
      <c r="I156" s="27">
        <f>I157+I158+I159+I160+I161+I162+I163</f>
        <v>6253.05</v>
      </c>
      <c r="J156" s="3">
        <v>0</v>
      </c>
      <c r="K156" s="238">
        <f>K157+K158+K159+K160+K161+K162+K163</f>
        <v>12767.790000000003</v>
      </c>
    </row>
    <row r="157" spans="1:11" s="4" customFormat="1" ht="15" customHeight="1" x14ac:dyDescent="0.2">
      <c r="A157" s="116">
        <v>42941</v>
      </c>
      <c r="B157" s="83"/>
      <c r="C157" s="84"/>
      <c r="D157" s="23" t="s">
        <v>50</v>
      </c>
      <c r="E157" s="106" t="s">
        <v>120</v>
      </c>
      <c r="F157" s="25"/>
      <c r="G157" s="26"/>
      <c r="H157" s="25">
        <f t="shared" si="4"/>
        <v>3139.4001150000004</v>
      </c>
      <c r="I157" s="62">
        <v>416.67</v>
      </c>
      <c r="J157" s="5"/>
      <c r="K157" s="62">
        <v>416.67</v>
      </c>
    </row>
    <row r="158" spans="1:11" s="4" customFormat="1" ht="15" customHeight="1" x14ac:dyDescent="0.2">
      <c r="A158" s="116">
        <v>42913</v>
      </c>
      <c r="B158" s="83"/>
      <c r="C158" s="84"/>
      <c r="D158" s="23" t="s">
        <v>52</v>
      </c>
      <c r="E158" s="106" t="s">
        <v>121</v>
      </c>
      <c r="F158" s="25"/>
      <c r="G158" s="26"/>
      <c r="H158" s="25">
        <f t="shared" si="4"/>
        <v>878.67339000000004</v>
      </c>
      <c r="I158" s="62">
        <v>116.62</v>
      </c>
      <c r="J158" s="5"/>
      <c r="K158" s="62">
        <v>116.62</v>
      </c>
    </row>
    <row r="159" spans="1:11" s="4" customFormat="1" ht="15" customHeight="1" x14ac:dyDescent="0.2">
      <c r="A159" s="234" t="s">
        <v>137</v>
      </c>
      <c r="B159" s="83"/>
      <c r="C159" s="84"/>
      <c r="D159" s="23" t="s">
        <v>53</v>
      </c>
      <c r="E159" s="106" t="s">
        <v>122</v>
      </c>
      <c r="F159" s="25"/>
      <c r="G159" s="26"/>
      <c r="H159" s="25">
        <f t="shared" si="4"/>
        <v>0</v>
      </c>
      <c r="I159" s="62"/>
      <c r="J159" s="5"/>
      <c r="K159" s="62">
        <v>420</v>
      </c>
    </row>
    <row r="160" spans="1:11" s="4" customFormat="1" ht="15" customHeight="1" x14ac:dyDescent="0.2">
      <c r="A160" s="116">
        <v>42613</v>
      </c>
      <c r="B160" s="83"/>
      <c r="C160" s="84"/>
      <c r="D160" s="23" t="s">
        <v>55</v>
      </c>
      <c r="E160" s="106" t="s">
        <v>123</v>
      </c>
      <c r="F160" s="25"/>
      <c r="G160" s="26"/>
      <c r="H160" s="25">
        <f t="shared" si="4"/>
        <v>3701.3231250000003</v>
      </c>
      <c r="I160" s="62">
        <v>491.25</v>
      </c>
      <c r="J160" s="5"/>
      <c r="K160" s="62">
        <v>491.25</v>
      </c>
    </row>
    <row r="161" spans="1:11" s="4" customFormat="1" ht="15" customHeight="1" x14ac:dyDescent="0.2">
      <c r="A161" s="234" t="s">
        <v>138</v>
      </c>
      <c r="B161" s="83"/>
      <c r="C161" s="84"/>
      <c r="D161" s="23" t="s">
        <v>57</v>
      </c>
      <c r="E161" s="106" t="s">
        <v>125</v>
      </c>
      <c r="F161" s="25"/>
      <c r="G161" s="26"/>
      <c r="H161" s="25">
        <f t="shared" si="4"/>
        <v>35504.899695000007</v>
      </c>
      <c r="I161" s="62">
        <v>4712.3100000000004</v>
      </c>
      <c r="J161" s="5"/>
      <c r="K161" s="62">
        <f>783.8+4712.31+1127.35+589.26</f>
        <v>7212.7200000000012</v>
      </c>
    </row>
    <row r="162" spans="1:11" s="4" customFormat="1" ht="15" customHeight="1" x14ac:dyDescent="0.2">
      <c r="A162" s="116">
        <v>42421</v>
      </c>
      <c r="B162" s="83">
        <v>0</v>
      </c>
      <c r="C162" s="84">
        <v>14</v>
      </c>
      <c r="D162" s="23" t="s">
        <v>126</v>
      </c>
      <c r="E162" s="106" t="s">
        <v>127</v>
      </c>
      <c r="F162" s="25"/>
      <c r="G162" s="26"/>
      <c r="H162" s="25">
        <f t="shared" si="4"/>
        <v>0</v>
      </c>
      <c r="I162" s="62"/>
      <c r="J162" s="5"/>
      <c r="K162" s="62">
        <v>2465</v>
      </c>
    </row>
    <row r="163" spans="1:11" s="4" customFormat="1" ht="15" customHeight="1" x14ac:dyDescent="0.2">
      <c r="A163" s="116">
        <v>42616</v>
      </c>
      <c r="B163" s="83"/>
      <c r="C163" s="84"/>
      <c r="D163" s="108" t="s">
        <v>128</v>
      </c>
      <c r="E163" s="109" t="s">
        <v>129</v>
      </c>
      <c r="F163" s="17"/>
      <c r="G163" s="20"/>
      <c r="H163" s="17">
        <f t="shared" si="4"/>
        <v>3889.3089000000004</v>
      </c>
      <c r="I163" s="62">
        <v>516.20000000000005</v>
      </c>
      <c r="J163" s="5"/>
      <c r="K163" s="62">
        <v>1645.53</v>
      </c>
    </row>
    <row r="164" spans="1:11" s="120" customFormat="1" ht="15" customHeight="1" x14ac:dyDescent="0.2">
      <c r="A164" s="116"/>
      <c r="B164" s="83"/>
      <c r="C164" s="84"/>
      <c r="D164" s="9"/>
      <c r="E164" s="17"/>
      <c r="F164" s="17"/>
      <c r="G164" s="118"/>
      <c r="H164" s="17">
        <f t="shared" si="4"/>
        <v>0</v>
      </c>
      <c r="I164" s="119"/>
      <c r="J164" s="5"/>
      <c r="K164" s="119"/>
    </row>
    <row r="165" spans="1:11" s="4" customFormat="1" ht="15" customHeight="1" x14ac:dyDescent="0.2">
      <c r="A165" s="116"/>
      <c r="B165" s="83">
        <v>0</v>
      </c>
      <c r="C165" s="84">
        <v>15</v>
      </c>
      <c r="D165" s="9" t="s">
        <v>47</v>
      </c>
      <c r="E165" s="22" t="s">
        <v>140</v>
      </c>
      <c r="F165" s="17"/>
      <c r="G165" s="239">
        <f>G143/3</f>
        <v>13776.623101068435</v>
      </c>
      <c r="H165" s="17">
        <f t="shared" si="4"/>
        <v>47288.330280000002</v>
      </c>
      <c r="I165" s="27">
        <f>I166+I167+I168+I169+I170+I171+I172</f>
        <v>6276.24</v>
      </c>
      <c r="J165" s="3">
        <v>0</v>
      </c>
      <c r="K165" s="238">
        <f>K166+K167+K168+K169+K170+K171+K172</f>
        <v>12769.240000000002</v>
      </c>
    </row>
    <row r="166" spans="1:11" s="4" customFormat="1" ht="15" customHeight="1" x14ac:dyDescent="0.2">
      <c r="A166" s="116">
        <v>42941</v>
      </c>
      <c r="B166" s="83"/>
      <c r="C166" s="84"/>
      <c r="D166" s="23" t="s">
        <v>50</v>
      </c>
      <c r="E166" s="106" t="s">
        <v>120</v>
      </c>
      <c r="F166" s="25"/>
      <c r="G166" s="26"/>
      <c r="H166" s="25">
        <f t="shared" si="4"/>
        <v>3139.3247700000002</v>
      </c>
      <c r="I166" s="62">
        <v>416.66</v>
      </c>
      <c r="J166" s="5"/>
      <c r="K166" s="62">
        <v>416.66</v>
      </c>
    </row>
    <row r="167" spans="1:11" s="4" customFormat="1" ht="15" customHeight="1" x14ac:dyDescent="0.2">
      <c r="A167" s="116">
        <v>42913</v>
      </c>
      <c r="B167" s="83"/>
      <c r="C167" s="84"/>
      <c r="D167" s="23" t="s">
        <v>52</v>
      </c>
      <c r="E167" s="106" t="s">
        <v>121</v>
      </c>
      <c r="F167" s="25"/>
      <c r="G167" s="26"/>
      <c r="H167" s="25">
        <f t="shared" si="4"/>
        <v>547.45677000000001</v>
      </c>
      <c r="I167" s="62">
        <v>72.66</v>
      </c>
      <c r="J167" s="5"/>
      <c r="K167" s="62">
        <v>72.66</v>
      </c>
    </row>
    <row r="168" spans="1:11" s="4" customFormat="1" ht="15" customHeight="1" x14ac:dyDescent="0.2">
      <c r="A168" s="234" t="s">
        <v>137</v>
      </c>
      <c r="B168" s="83"/>
      <c r="C168" s="84"/>
      <c r="D168" s="23" t="s">
        <v>53</v>
      </c>
      <c r="E168" s="106" t="s">
        <v>122</v>
      </c>
      <c r="F168" s="25"/>
      <c r="G168" s="26"/>
      <c r="H168" s="25">
        <f t="shared" si="4"/>
        <v>0</v>
      </c>
      <c r="I168" s="62"/>
      <c r="J168" s="5"/>
      <c r="K168" s="62">
        <v>2434.4299999999998</v>
      </c>
    </row>
    <row r="169" spans="1:11" s="4" customFormat="1" ht="15" customHeight="1" x14ac:dyDescent="0.2">
      <c r="A169" s="116">
        <v>42613</v>
      </c>
      <c r="B169" s="83"/>
      <c r="C169" s="84"/>
      <c r="D169" s="23" t="s">
        <v>55</v>
      </c>
      <c r="E169" s="106" t="s">
        <v>123</v>
      </c>
      <c r="F169" s="25"/>
      <c r="G169" s="26"/>
      <c r="H169" s="25">
        <f t="shared" si="4"/>
        <v>1205.52</v>
      </c>
      <c r="I169" s="62">
        <v>160</v>
      </c>
      <c r="J169" s="5"/>
      <c r="K169" s="62">
        <v>160</v>
      </c>
    </row>
    <row r="170" spans="1:11" s="4" customFormat="1" ht="15" customHeight="1" x14ac:dyDescent="0.2">
      <c r="A170" s="234" t="s">
        <v>141</v>
      </c>
      <c r="B170" s="83"/>
      <c r="C170" s="84"/>
      <c r="D170" s="23" t="s">
        <v>57</v>
      </c>
      <c r="E170" s="106" t="s">
        <v>125</v>
      </c>
      <c r="F170" s="25"/>
      <c r="G170" s="26"/>
      <c r="H170" s="25">
        <f t="shared" si="4"/>
        <v>31339.074645000001</v>
      </c>
      <c r="I170" s="62">
        <v>4159.41</v>
      </c>
      <c r="J170" s="5"/>
      <c r="K170" s="62">
        <f>1513.27+4159.41+576.22</f>
        <v>6248.9000000000005</v>
      </c>
    </row>
    <row r="171" spans="1:11" s="4" customFormat="1" ht="15" customHeight="1" x14ac:dyDescent="0.2">
      <c r="A171" s="116">
        <v>42421</v>
      </c>
      <c r="B171" s="83"/>
      <c r="C171" s="84"/>
      <c r="D171" s="23" t="s">
        <v>126</v>
      </c>
      <c r="E171" s="106" t="s">
        <v>127</v>
      </c>
      <c r="F171" s="25"/>
      <c r="G171" s="26"/>
      <c r="H171" s="25">
        <f t="shared" si="4"/>
        <v>11056.954095000001</v>
      </c>
      <c r="I171" s="62">
        <v>1467.51</v>
      </c>
      <c r="J171" s="5"/>
      <c r="K171" s="62">
        <v>1594.51</v>
      </c>
    </row>
    <row r="172" spans="1:11" s="4" customFormat="1" ht="15" customHeight="1" x14ac:dyDescent="0.2">
      <c r="A172" s="116">
        <v>42616</v>
      </c>
      <c r="B172" s="83"/>
      <c r="C172" s="84"/>
      <c r="D172" s="108" t="s">
        <v>128</v>
      </c>
      <c r="E172" s="109" t="s">
        <v>129</v>
      </c>
      <c r="F172" s="17"/>
      <c r="G172" s="20"/>
      <c r="H172" s="17">
        <f t="shared" si="4"/>
        <v>0</v>
      </c>
      <c r="I172" s="21"/>
      <c r="J172" s="5"/>
      <c r="K172" s="62">
        <v>1842.08</v>
      </c>
    </row>
    <row r="173" spans="1:11" s="120" customFormat="1" ht="15" customHeight="1" x14ac:dyDescent="0.2">
      <c r="A173" s="116"/>
      <c r="B173" s="83"/>
      <c r="C173" s="84"/>
      <c r="D173" s="9"/>
      <c r="E173" s="92"/>
      <c r="F173" s="17"/>
      <c r="G173" s="118"/>
      <c r="H173" s="17">
        <f t="shared" si="4"/>
        <v>0</v>
      </c>
      <c r="I173" s="119"/>
      <c r="J173" s="5"/>
      <c r="K173" s="5"/>
    </row>
    <row r="174" spans="1:11" s="4" customFormat="1" ht="15" customHeight="1" x14ac:dyDescent="0.2">
      <c r="A174" s="116"/>
      <c r="B174" s="83">
        <v>0</v>
      </c>
      <c r="C174" s="84">
        <v>7</v>
      </c>
      <c r="D174" s="9" t="s">
        <v>142</v>
      </c>
      <c r="E174" s="22" t="s">
        <v>143</v>
      </c>
      <c r="F174" s="17">
        <v>87910</v>
      </c>
      <c r="G174" s="20">
        <v>11667.662087729776</v>
      </c>
      <c r="H174" s="17">
        <f t="shared" si="4"/>
        <v>87898.305795000007</v>
      </c>
      <c r="I174" s="21">
        <f>I176+I177+I178+I179+I180+I181+I182</f>
        <v>11666.11</v>
      </c>
      <c r="J174" s="5">
        <v>11666.11</v>
      </c>
      <c r="K174" s="5">
        <v>11666.11</v>
      </c>
    </row>
    <row r="175" spans="1:11" s="4" customFormat="1" ht="15" customHeight="1" x14ac:dyDescent="0.2">
      <c r="A175" s="116"/>
      <c r="B175" s="83"/>
      <c r="C175" s="84"/>
      <c r="D175" s="9"/>
      <c r="E175" s="22" t="s">
        <v>144</v>
      </c>
      <c r="F175" s="17"/>
      <c r="G175" s="20"/>
      <c r="H175" s="17">
        <f t="shared" si="4"/>
        <v>0</v>
      </c>
      <c r="I175" s="21"/>
      <c r="J175" s="5"/>
      <c r="K175" s="5"/>
    </row>
    <row r="176" spans="1:11" s="4" customFormat="1" ht="15" customHeight="1" x14ac:dyDescent="0.2">
      <c r="A176" s="116">
        <v>42941</v>
      </c>
      <c r="B176" s="83"/>
      <c r="C176" s="84"/>
      <c r="D176" s="23" t="s">
        <v>50</v>
      </c>
      <c r="E176" s="106" t="s">
        <v>120</v>
      </c>
      <c r="F176" s="25"/>
      <c r="G176" s="26"/>
      <c r="H176" s="25">
        <f t="shared" si="4"/>
        <v>9041.4</v>
      </c>
      <c r="I176" s="62">
        <v>1200</v>
      </c>
      <c r="J176" s="5"/>
      <c r="K176" s="5"/>
    </row>
    <row r="177" spans="1:11" s="4" customFormat="1" ht="15" customHeight="1" x14ac:dyDescent="0.2">
      <c r="A177" s="116">
        <v>42913</v>
      </c>
      <c r="B177" s="83"/>
      <c r="C177" s="84"/>
      <c r="D177" s="23" t="s">
        <v>52</v>
      </c>
      <c r="E177" s="106" t="s">
        <v>121</v>
      </c>
      <c r="F177" s="25"/>
      <c r="G177" s="26"/>
      <c r="H177" s="25">
        <f t="shared" si="4"/>
        <v>1631.8220100000001</v>
      </c>
      <c r="I177" s="62">
        <v>216.58</v>
      </c>
      <c r="J177" s="5"/>
      <c r="K177" s="5"/>
    </row>
    <row r="178" spans="1:11" s="4" customFormat="1" ht="15" customHeight="1" x14ac:dyDescent="0.2">
      <c r="A178" s="234" t="s">
        <v>96</v>
      </c>
      <c r="B178" s="83"/>
      <c r="C178" s="84"/>
      <c r="D178" s="23" t="s">
        <v>53</v>
      </c>
      <c r="E178" s="106" t="s">
        <v>122</v>
      </c>
      <c r="F178" s="25"/>
      <c r="G178" s="26"/>
      <c r="H178" s="25">
        <f t="shared" si="4"/>
        <v>42629.070824999995</v>
      </c>
      <c r="I178" s="62">
        <f>123.45+504+5030.4</f>
        <v>5657.8499999999995</v>
      </c>
      <c r="J178" s="5"/>
      <c r="K178" s="5"/>
    </row>
    <row r="179" spans="1:11" s="4" customFormat="1" ht="15" customHeight="1" x14ac:dyDescent="0.2">
      <c r="A179" s="116">
        <v>42613</v>
      </c>
      <c r="B179" s="83"/>
      <c r="C179" s="84"/>
      <c r="D179" s="23" t="s">
        <v>55</v>
      </c>
      <c r="E179" s="106" t="s">
        <v>123</v>
      </c>
      <c r="F179" s="25"/>
      <c r="G179" s="26"/>
      <c r="H179" s="25">
        <f t="shared" si="4"/>
        <v>1872.6999750000002</v>
      </c>
      <c r="I179" s="62">
        <v>248.55</v>
      </c>
      <c r="J179" s="5"/>
      <c r="K179" s="5"/>
    </row>
    <row r="180" spans="1:11" s="4" customFormat="1" ht="15" customHeight="1" x14ac:dyDescent="0.2">
      <c r="A180" s="234" t="s">
        <v>145</v>
      </c>
      <c r="B180" s="83"/>
      <c r="C180" s="84"/>
      <c r="D180" s="23" t="s">
        <v>57</v>
      </c>
      <c r="E180" s="106" t="s">
        <v>125</v>
      </c>
      <c r="F180" s="25"/>
      <c r="G180" s="26"/>
      <c r="H180" s="25">
        <f t="shared" si="4"/>
        <v>7105.1841899999999</v>
      </c>
      <c r="I180" s="62">
        <v>943.02</v>
      </c>
      <c r="J180" s="5"/>
      <c r="K180" s="5"/>
    </row>
    <row r="181" spans="1:11" s="4" customFormat="1" ht="15" customHeight="1" x14ac:dyDescent="0.2">
      <c r="A181" s="116">
        <v>42421</v>
      </c>
      <c r="B181" s="83"/>
      <c r="C181" s="84"/>
      <c r="D181" s="23" t="s">
        <v>126</v>
      </c>
      <c r="E181" s="106" t="s">
        <v>127</v>
      </c>
      <c r="F181" s="25"/>
      <c r="G181" s="26"/>
      <c r="H181" s="25">
        <f t="shared" si="4"/>
        <v>14624.313810000001</v>
      </c>
      <c r="I181" s="62">
        <v>1940.98</v>
      </c>
      <c r="J181" s="5"/>
      <c r="K181" s="5"/>
    </row>
    <row r="182" spans="1:11" s="4" customFormat="1" ht="15" customHeight="1" x14ac:dyDescent="0.2">
      <c r="A182" s="116">
        <v>42616</v>
      </c>
      <c r="B182" s="83"/>
      <c r="C182" s="84"/>
      <c r="D182" s="108" t="s">
        <v>128</v>
      </c>
      <c r="E182" s="109" t="s">
        <v>129</v>
      </c>
      <c r="F182" s="17"/>
      <c r="G182" s="20"/>
      <c r="H182" s="17">
        <f t="shared" si="4"/>
        <v>10993.814985000001</v>
      </c>
      <c r="I182" s="62">
        <v>1459.13</v>
      </c>
      <c r="J182" s="5"/>
      <c r="K182" s="5"/>
    </row>
    <row r="183" spans="1:11" s="4" customFormat="1" ht="15" customHeight="1" x14ac:dyDescent="0.2">
      <c r="A183" s="116"/>
      <c r="B183" s="83"/>
      <c r="C183" s="84"/>
      <c r="D183" s="9"/>
      <c r="E183" s="121"/>
      <c r="F183" s="17"/>
      <c r="G183" s="118"/>
      <c r="H183" s="17">
        <f t="shared" si="4"/>
        <v>0</v>
      </c>
      <c r="I183" s="119"/>
      <c r="J183" s="5"/>
      <c r="K183" s="5"/>
    </row>
    <row r="184" spans="1:11" s="4" customFormat="1" ht="15" customHeight="1" x14ac:dyDescent="0.2">
      <c r="A184" s="116"/>
      <c r="B184" s="83">
        <v>0</v>
      </c>
      <c r="C184" s="84">
        <v>9</v>
      </c>
      <c r="D184" s="9" t="s">
        <v>146</v>
      </c>
      <c r="E184" s="22" t="s">
        <v>147</v>
      </c>
      <c r="F184" s="17"/>
      <c r="G184" s="20"/>
      <c r="H184" s="17">
        <f t="shared" si="4"/>
        <v>0</v>
      </c>
      <c r="I184" s="21"/>
      <c r="J184" s="5"/>
      <c r="K184" s="5"/>
    </row>
    <row r="185" spans="1:11" s="4" customFormat="1" ht="15" customHeight="1" x14ac:dyDescent="0.2">
      <c r="A185" s="116"/>
      <c r="B185" s="83"/>
      <c r="C185" s="84"/>
      <c r="D185" s="9"/>
      <c r="E185" s="22" t="s">
        <v>148</v>
      </c>
      <c r="F185" s="17">
        <v>86260</v>
      </c>
      <c r="G185" s="20">
        <v>11448.669453845643</v>
      </c>
      <c r="H185" s="17">
        <f t="shared" si="4"/>
        <v>92410.567154999997</v>
      </c>
      <c r="I185" s="21">
        <f>I189+I190+I191+I192+I193+I194</f>
        <v>12264.99</v>
      </c>
      <c r="J185" s="3">
        <f>G188</f>
        <v>17533.669453845643</v>
      </c>
      <c r="K185" s="3">
        <f>K189+K190+K191+K192+K193+K194+K195</f>
        <v>17533.669999999998</v>
      </c>
    </row>
    <row r="186" spans="1:11" s="4" customFormat="1" ht="15" customHeight="1" x14ac:dyDescent="0.2">
      <c r="A186" s="116"/>
      <c r="B186" s="83"/>
      <c r="C186" s="84"/>
      <c r="D186" s="9"/>
      <c r="E186" s="24" t="s">
        <v>149</v>
      </c>
      <c r="F186" s="17"/>
      <c r="G186" s="91">
        <v>4085</v>
      </c>
      <c r="H186" s="17"/>
      <c r="I186" s="21"/>
      <c r="J186" s="5"/>
      <c r="K186" s="5"/>
    </row>
    <row r="187" spans="1:11" s="4" customFormat="1" ht="15" customHeight="1" x14ac:dyDescent="0.2">
      <c r="A187" s="116"/>
      <c r="B187" s="83"/>
      <c r="C187" s="84"/>
      <c r="D187" s="9"/>
      <c r="E187" s="24" t="s">
        <v>150</v>
      </c>
      <c r="F187" s="17"/>
      <c r="G187" s="91">
        <v>2000</v>
      </c>
      <c r="H187" s="17"/>
      <c r="I187" s="21"/>
      <c r="J187" s="5"/>
      <c r="K187" s="5"/>
    </row>
    <row r="188" spans="1:11" s="4" customFormat="1" ht="15" customHeight="1" x14ac:dyDescent="0.2">
      <c r="A188" s="116"/>
      <c r="B188" s="83"/>
      <c r="C188" s="84"/>
      <c r="D188" s="9"/>
      <c r="E188" s="92" t="s">
        <v>103</v>
      </c>
      <c r="F188" s="104"/>
      <c r="G188" s="105">
        <f>SUM(G185:G187)</f>
        <v>17533.669453845643</v>
      </c>
      <c r="H188" s="17"/>
      <c r="I188" s="21"/>
      <c r="J188" s="5"/>
      <c r="K188" s="5"/>
    </row>
    <row r="189" spans="1:11" s="4" customFormat="1" ht="15" customHeight="1" x14ac:dyDescent="0.2">
      <c r="A189" s="116">
        <v>42941</v>
      </c>
      <c r="B189" s="83"/>
      <c r="C189" s="84"/>
      <c r="D189" s="23" t="s">
        <v>50</v>
      </c>
      <c r="E189" s="106" t="s">
        <v>120</v>
      </c>
      <c r="F189" s="25"/>
      <c r="G189" s="26"/>
      <c r="H189" s="25">
        <f t="shared" si="4"/>
        <v>10925.025000000001</v>
      </c>
      <c r="I189" s="62">
        <v>1450</v>
      </c>
      <c r="J189" s="5"/>
      <c r="K189" s="62">
        <v>1450</v>
      </c>
    </row>
    <row r="190" spans="1:11" s="4" customFormat="1" ht="15" customHeight="1" x14ac:dyDescent="0.2">
      <c r="A190" s="234" t="s">
        <v>96</v>
      </c>
      <c r="B190" s="83"/>
      <c r="C190" s="84"/>
      <c r="D190" s="23" t="s">
        <v>52</v>
      </c>
      <c r="E190" s="106" t="s">
        <v>122</v>
      </c>
      <c r="F190" s="25"/>
      <c r="G190" s="26"/>
      <c r="H190" s="25">
        <f t="shared" si="4"/>
        <v>42090.730799999998</v>
      </c>
      <c r="I190" s="62">
        <f>2421+3165.4</f>
        <v>5586.4</v>
      </c>
      <c r="J190" s="5"/>
      <c r="K190" s="62">
        <v>9747.2000000000007</v>
      </c>
    </row>
    <row r="191" spans="1:11" s="4" customFormat="1" ht="15" customHeight="1" x14ac:dyDescent="0.2">
      <c r="A191" s="116" t="s">
        <v>151</v>
      </c>
      <c r="B191" s="83"/>
      <c r="C191" s="84"/>
      <c r="D191" s="23" t="s">
        <v>53</v>
      </c>
      <c r="E191" s="106" t="s">
        <v>123</v>
      </c>
      <c r="F191" s="25"/>
      <c r="G191" s="26"/>
      <c r="H191" s="25">
        <f t="shared" si="4"/>
        <v>18836.25</v>
      </c>
      <c r="I191" s="62">
        <v>2500</v>
      </c>
      <c r="J191" s="5"/>
      <c r="K191" s="62">
        <f>2500</f>
        <v>2500</v>
      </c>
    </row>
    <row r="192" spans="1:11" s="4" customFormat="1" ht="15" customHeight="1" x14ac:dyDescent="0.2">
      <c r="A192" s="116" t="s">
        <v>124</v>
      </c>
      <c r="B192" s="83"/>
      <c r="C192" s="84"/>
      <c r="D192" s="23" t="s">
        <v>55</v>
      </c>
      <c r="E192" s="106" t="s">
        <v>125</v>
      </c>
      <c r="F192" s="25"/>
      <c r="G192" s="26"/>
      <c r="H192" s="25">
        <f t="shared" si="4"/>
        <v>0</v>
      </c>
      <c r="I192" s="62">
        <v>0</v>
      </c>
      <c r="J192" s="5"/>
      <c r="K192" s="62">
        <v>7365.4</v>
      </c>
    </row>
    <row r="193" spans="1:11" s="4" customFormat="1" ht="15" customHeight="1" x14ac:dyDescent="0.2">
      <c r="A193" s="116">
        <v>42421</v>
      </c>
      <c r="B193" s="81"/>
      <c r="C193" s="81"/>
      <c r="D193" s="23" t="s">
        <v>57</v>
      </c>
      <c r="E193" s="106" t="s">
        <v>127</v>
      </c>
      <c r="F193" s="25"/>
      <c r="G193" s="26"/>
      <c r="H193" s="25">
        <f t="shared" si="4"/>
        <v>13562.1</v>
      </c>
      <c r="I193" s="62">
        <v>1800</v>
      </c>
      <c r="J193" s="5"/>
      <c r="K193" s="62">
        <v>1800</v>
      </c>
    </row>
    <row r="194" spans="1:11" s="4" customFormat="1" ht="15" customHeight="1" x14ac:dyDescent="0.2">
      <c r="A194" s="116" t="s">
        <v>152</v>
      </c>
      <c r="B194" s="83"/>
      <c r="C194" s="84"/>
      <c r="D194" s="23" t="s">
        <v>126</v>
      </c>
      <c r="E194" s="109" t="s">
        <v>129</v>
      </c>
      <c r="F194" s="17"/>
      <c r="G194" s="118"/>
      <c r="H194" s="17">
        <f t="shared" si="4"/>
        <v>6996.4613549999995</v>
      </c>
      <c r="I194" s="102">
        <f>433.15+495.44</f>
        <v>928.58999999999992</v>
      </c>
      <c r="J194" s="5"/>
      <c r="K194" s="102">
        <f>433.15+495.44+45.08</f>
        <v>973.67</v>
      </c>
    </row>
    <row r="195" spans="1:11" s="4" customFormat="1" ht="15" customHeight="1" x14ac:dyDescent="0.2">
      <c r="A195" s="116"/>
      <c r="B195" s="83"/>
      <c r="C195" s="84"/>
      <c r="D195" s="108"/>
      <c r="E195" s="122" t="s">
        <v>153</v>
      </c>
      <c r="F195" s="17"/>
      <c r="G195" s="118"/>
      <c r="H195" s="17">
        <f t="shared" si="4"/>
        <v>0</v>
      </c>
      <c r="I195" s="119"/>
      <c r="J195" s="5"/>
      <c r="K195" s="123">
        <v>-6302.6</v>
      </c>
    </row>
    <row r="196" spans="1:11" s="4" customFormat="1" ht="15" customHeight="1" x14ac:dyDescent="0.2">
      <c r="A196" s="116"/>
      <c r="B196" s="83"/>
      <c r="C196" s="84"/>
      <c r="D196" s="108"/>
      <c r="E196" s="122"/>
      <c r="F196" s="17"/>
      <c r="G196" s="118"/>
      <c r="H196" s="17"/>
      <c r="I196" s="119"/>
      <c r="J196" s="5"/>
      <c r="K196" s="5"/>
    </row>
    <row r="197" spans="1:11" s="4" customFormat="1" ht="15" customHeight="1" x14ac:dyDescent="0.2">
      <c r="A197" s="116"/>
      <c r="B197" s="83">
        <v>0</v>
      </c>
      <c r="C197" s="84">
        <v>5</v>
      </c>
      <c r="D197" s="9" t="s">
        <v>154</v>
      </c>
      <c r="E197" s="22" t="s">
        <v>155</v>
      </c>
      <c r="F197" s="17"/>
      <c r="G197" s="20"/>
      <c r="H197" s="17">
        <f t="shared" si="4"/>
        <v>0</v>
      </c>
      <c r="I197" s="21"/>
      <c r="J197" s="5"/>
      <c r="K197" s="5"/>
    </row>
    <row r="198" spans="1:11" s="4" customFormat="1" ht="15" customHeight="1" x14ac:dyDescent="0.2">
      <c r="A198" s="116"/>
      <c r="B198" s="83"/>
      <c r="C198" s="84"/>
      <c r="D198" s="9"/>
      <c r="E198" s="22" t="s">
        <v>156</v>
      </c>
      <c r="F198" s="17">
        <v>46400</v>
      </c>
      <c r="G198" s="20">
        <v>6158.3383104386485</v>
      </c>
      <c r="H198" s="17">
        <f t="shared" si="4"/>
        <v>85016.585579999999</v>
      </c>
      <c r="I198" s="21">
        <f>I201+I202+I203+I204+I205+I206+I207</f>
        <v>11283.64</v>
      </c>
      <c r="J198" s="5">
        <v>11283.64</v>
      </c>
      <c r="K198" s="5">
        <v>11283.64</v>
      </c>
    </row>
    <row r="199" spans="1:11" s="4" customFormat="1" ht="15" customHeight="1" x14ac:dyDescent="0.2">
      <c r="A199" s="116"/>
      <c r="B199" s="83"/>
      <c r="C199" s="84"/>
      <c r="D199" s="9"/>
      <c r="E199" s="24" t="s">
        <v>119</v>
      </c>
      <c r="F199" s="17"/>
      <c r="G199" s="91">
        <v>0</v>
      </c>
      <c r="H199" s="17"/>
      <c r="I199" s="21"/>
      <c r="J199" s="5"/>
      <c r="K199" s="5"/>
    </row>
    <row r="200" spans="1:11" s="4" customFormat="1" ht="15" customHeight="1" x14ac:dyDescent="0.2">
      <c r="A200" s="116"/>
      <c r="B200" s="83"/>
      <c r="C200" s="84"/>
      <c r="D200" s="9"/>
      <c r="E200" s="92" t="s">
        <v>103</v>
      </c>
      <c r="F200" s="104"/>
      <c r="G200" s="105">
        <f>SUM(G198:G199)</f>
        <v>6158.3383104386485</v>
      </c>
      <c r="H200" s="17"/>
      <c r="I200" s="21"/>
      <c r="J200" s="5"/>
      <c r="K200" s="5"/>
    </row>
    <row r="201" spans="1:11" s="4" customFormat="1" ht="15" customHeight="1" x14ac:dyDescent="0.2">
      <c r="A201" s="116">
        <v>42941</v>
      </c>
      <c r="B201" s="83"/>
      <c r="C201" s="84"/>
      <c r="D201" s="23" t="s">
        <v>50</v>
      </c>
      <c r="E201" s="106" t="s">
        <v>120</v>
      </c>
      <c r="F201" s="25"/>
      <c r="G201" s="26"/>
      <c r="H201" s="25">
        <f t="shared" si="4"/>
        <v>38425.950000000004</v>
      </c>
      <c r="I201" s="62">
        <v>5100</v>
      </c>
      <c r="J201" s="5"/>
      <c r="K201" s="5"/>
    </row>
    <row r="202" spans="1:11" s="4" customFormat="1" ht="15" customHeight="1" x14ac:dyDescent="0.2">
      <c r="A202" s="116">
        <v>42913</v>
      </c>
      <c r="B202" s="83"/>
      <c r="C202" s="84"/>
      <c r="D202" s="23" t="s">
        <v>52</v>
      </c>
      <c r="E202" s="106" t="s">
        <v>121</v>
      </c>
      <c r="F202" s="25"/>
      <c r="G202" s="26"/>
      <c r="H202" s="25">
        <f t="shared" si="4"/>
        <v>0</v>
      </c>
      <c r="I202" s="62"/>
      <c r="J202" s="5"/>
      <c r="K202" s="5"/>
    </row>
    <row r="203" spans="1:11" s="4" customFormat="1" ht="15" customHeight="1" x14ac:dyDescent="0.2">
      <c r="A203" s="234" t="s">
        <v>96</v>
      </c>
      <c r="B203" s="83"/>
      <c r="C203" s="84"/>
      <c r="D203" s="23" t="s">
        <v>53</v>
      </c>
      <c r="E203" s="106" t="s">
        <v>122</v>
      </c>
      <c r="F203" s="25"/>
      <c r="G203" s="26"/>
      <c r="H203" s="25">
        <f t="shared" si="4"/>
        <v>38859.108404999999</v>
      </c>
      <c r="I203" s="62">
        <f>1559.3+3569.29+28.9</f>
        <v>5157.49</v>
      </c>
      <c r="J203" s="5"/>
      <c r="K203" s="5"/>
    </row>
    <row r="204" spans="1:11" s="4" customFormat="1" ht="15" customHeight="1" x14ac:dyDescent="0.2">
      <c r="A204" s="116" t="s">
        <v>151</v>
      </c>
      <c r="B204" s="83"/>
      <c r="C204" s="84"/>
      <c r="D204" s="23" t="s">
        <v>55</v>
      </c>
      <c r="E204" s="106" t="s">
        <v>123</v>
      </c>
      <c r="F204" s="25"/>
      <c r="G204" s="26"/>
      <c r="H204" s="25">
        <f t="shared" si="4"/>
        <v>2441.1780000000003</v>
      </c>
      <c r="I204" s="62">
        <v>324</v>
      </c>
      <c r="J204" s="5"/>
      <c r="K204" s="5"/>
    </row>
    <row r="205" spans="1:11" s="4" customFormat="1" ht="15" customHeight="1" x14ac:dyDescent="0.2">
      <c r="A205" s="116" t="s">
        <v>124</v>
      </c>
      <c r="B205" s="83"/>
      <c r="C205" s="84"/>
      <c r="D205" s="23" t="s">
        <v>57</v>
      </c>
      <c r="E205" s="106" t="s">
        <v>125</v>
      </c>
      <c r="F205" s="25"/>
      <c r="G205" s="26"/>
      <c r="H205" s="25">
        <f t="shared" si="4"/>
        <v>5290.3491750000003</v>
      </c>
      <c r="I205" s="62">
        <f>147.88+554.27</f>
        <v>702.15</v>
      </c>
      <c r="J205" s="5"/>
      <c r="K205" s="5"/>
    </row>
    <row r="206" spans="1:11" s="4" customFormat="1" ht="15" customHeight="1" x14ac:dyDescent="0.2">
      <c r="A206" s="116">
        <v>42421</v>
      </c>
      <c r="B206" s="83"/>
      <c r="C206" s="84"/>
      <c r="D206" s="23" t="s">
        <v>126</v>
      </c>
      <c r="E206" s="106" t="s">
        <v>127</v>
      </c>
      <c r="F206" s="25"/>
      <c r="G206" s="26"/>
      <c r="H206" s="25">
        <f t="shared" si="4"/>
        <v>0</v>
      </c>
      <c r="I206" s="62"/>
      <c r="J206" s="5"/>
      <c r="K206" s="5"/>
    </row>
    <row r="207" spans="1:11" s="4" customFormat="1" ht="15" customHeight="1" x14ac:dyDescent="0.2">
      <c r="A207" s="116">
        <v>42616</v>
      </c>
      <c r="B207" s="83"/>
      <c r="C207" s="84"/>
      <c r="D207" s="108" t="s">
        <v>128</v>
      </c>
      <c r="E207" s="109" t="s">
        <v>129</v>
      </c>
      <c r="F207" s="25"/>
      <c r="G207" s="26"/>
      <c r="H207" s="25">
        <f t="shared" si="4"/>
        <v>0</v>
      </c>
      <c r="I207" s="62"/>
      <c r="J207" s="5"/>
      <c r="K207" s="5"/>
    </row>
    <row r="208" spans="1:11" s="4" customFormat="1" ht="15" customHeight="1" x14ac:dyDescent="0.2">
      <c r="A208" s="116"/>
      <c r="B208" s="83"/>
      <c r="C208" s="84"/>
      <c r="D208" s="108"/>
      <c r="E208" s="109"/>
      <c r="F208" s="25"/>
      <c r="G208" s="26"/>
      <c r="H208" s="25">
        <f t="shared" si="4"/>
        <v>0</v>
      </c>
      <c r="I208" s="27"/>
      <c r="J208" s="5"/>
      <c r="K208" s="5"/>
    </row>
    <row r="209" spans="1:11" s="4" customFormat="1" ht="15" customHeight="1" x14ac:dyDescent="0.2">
      <c r="A209" s="116"/>
      <c r="B209" s="83">
        <v>0</v>
      </c>
      <c r="C209" s="84">
        <v>4</v>
      </c>
      <c r="D209" s="9" t="s">
        <v>157</v>
      </c>
      <c r="E209" s="22" t="s">
        <v>158</v>
      </c>
      <c r="F209" s="17">
        <v>25660</v>
      </c>
      <c r="G209" s="20">
        <v>3405.6672639193043</v>
      </c>
      <c r="H209" s="17">
        <f t="shared" si="4"/>
        <v>28659.806444999998</v>
      </c>
      <c r="I209" s="21">
        <f>I210+I211+I212+I213+I214+I215+I216</f>
        <v>3803.8099999999995</v>
      </c>
      <c r="J209" s="5">
        <v>3803.8099999999995</v>
      </c>
      <c r="K209" s="5">
        <v>3803.8099999999995</v>
      </c>
    </row>
    <row r="210" spans="1:11" s="4" customFormat="1" ht="15" customHeight="1" x14ac:dyDescent="0.2">
      <c r="A210" s="116">
        <v>42941</v>
      </c>
      <c r="B210" s="83"/>
      <c r="C210" s="84"/>
      <c r="D210" s="23" t="s">
        <v>50</v>
      </c>
      <c r="E210" s="106" t="s">
        <v>120</v>
      </c>
      <c r="F210" s="25"/>
      <c r="G210" s="26"/>
      <c r="H210" s="25">
        <f t="shared" si="4"/>
        <v>14466.240000000002</v>
      </c>
      <c r="I210" s="62">
        <v>1920</v>
      </c>
      <c r="J210" s="5"/>
      <c r="K210" s="5"/>
    </row>
    <row r="211" spans="1:11" s="4" customFormat="1" ht="15" customHeight="1" x14ac:dyDescent="0.2">
      <c r="A211" s="116">
        <v>42913</v>
      </c>
      <c r="B211" s="83"/>
      <c r="C211" s="84"/>
      <c r="D211" s="23" t="s">
        <v>52</v>
      </c>
      <c r="E211" s="106" t="s">
        <v>121</v>
      </c>
      <c r="F211" s="25"/>
      <c r="G211" s="26"/>
      <c r="H211" s="25">
        <f t="shared" si="4"/>
        <v>275.76270000000005</v>
      </c>
      <c r="I211" s="62">
        <v>36.6</v>
      </c>
      <c r="J211" s="5"/>
      <c r="K211" s="5"/>
    </row>
    <row r="212" spans="1:11" s="4" customFormat="1" ht="15" customHeight="1" x14ac:dyDescent="0.2">
      <c r="A212" s="234" t="s">
        <v>96</v>
      </c>
      <c r="B212" s="83"/>
      <c r="C212" s="84"/>
      <c r="D212" s="23" t="s">
        <v>53</v>
      </c>
      <c r="E212" s="106" t="s">
        <v>122</v>
      </c>
      <c r="F212" s="25"/>
      <c r="G212" s="26"/>
      <c r="H212" s="25">
        <f t="shared" si="4"/>
        <v>8203.5635999999995</v>
      </c>
      <c r="I212" s="62">
        <f>1008.8+80</f>
        <v>1088.8</v>
      </c>
      <c r="J212" s="5"/>
      <c r="K212" s="5"/>
    </row>
    <row r="213" spans="1:11" s="4" customFormat="1" ht="15" customHeight="1" x14ac:dyDescent="0.2">
      <c r="A213" s="116">
        <v>42613</v>
      </c>
      <c r="B213" s="83"/>
      <c r="C213" s="84"/>
      <c r="D213" s="23" t="s">
        <v>55</v>
      </c>
      <c r="E213" s="106" t="s">
        <v>123</v>
      </c>
      <c r="F213" s="25"/>
      <c r="G213" s="26"/>
      <c r="H213" s="25">
        <f t="shared" si="4"/>
        <v>833.46639000000005</v>
      </c>
      <c r="I213" s="62">
        <v>110.62</v>
      </c>
      <c r="J213" s="5"/>
      <c r="K213" s="5"/>
    </row>
    <row r="214" spans="1:11" s="4" customFormat="1" ht="15" customHeight="1" x14ac:dyDescent="0.2">
      <c r="A214" s="116" t="s">
        <v>124</v>
      </c>
      <c r="B214" s="83"/>
      <c r="C214" s="84"/>
      <c r="D214" s="23" t="s">
        <v>57</v>
      </c>
      <c r="E214" s="106" t="s">
        <v>125</v>
      </c>
      <c r="F214" s="25"/>
      <c r="G214" s="26"/>
      <c r="H214" s="25">
        <f t="shared" ref="H214:H226" si="5">I214*$H$24</f>
        <v>4880.7737550000002</v>
      </c>
      <c r="I214" s="62">
        <f>570+77.79</f>
        <v>647.79</v>
      </c>
      <c r="J214" s="5"/>
      <c r="K214" s="5"/>
    </row>
    <row r="215" spans="1:11" s="4" customFormat="1" ht="15" customHeight="1" x14ac:dyDescent="0.2">
      <c r="A215" s="116">
        <v>42421</v>
      </c>
      <c r="B215" s="83"/>
      <c r="C215" s="84"/>
      <c r="D215" s="23" t="s">
        <v>126</v>
      </c>
      <c r="E215" s="106" t="s">
        <v>127</v>
      </c>
      <c r="F215" s="25"/>
      <c r="G215" s="26"/>
      <c r="H215" s="25">
        <f t="shared" si="5"/>
        <v>0</v>
      </c>
      <c r="I215" s="62"/>
      <c r="J215" s="5"/>
      <c r="K215" s="5"/>
    </row>
    <row r="216" spans="1:11" s="4" customFormat="1" ht="15" customHeight="1" x14ac:dyDescent="0.2">
      <c r="A216" s="116">
        <v>42616</v>
      </c>
      <c r="B216" s="83"/>
      <c r="C216" s="84"/>
      <c r="D216" s="108" t="s">
        <v>128</v>
      </c>
      <c r="E216" s="109" t="s">
        <v>129</v>
      </c>
      <c r="F216" s="25"/>
      <c r="G216" s="26"/>
      <c r="H216" s="25">
        <f t="shared" si="5"/>
        <v>0</v>
      </c>
      <c r="I216" s="62"/>
      <c r="J216" s="5"/>
      <c r="K216" s="5"/>
    </row>
    <row r="217" spans="1:11" s="4" customFormat="1" ht="15" customHeight="1" x14ac:dyDescent="0.2">
      <c r="A217" s="116"/>
      <c r="B217" s="83"/>
      <c r="C217" s="84"/>
      <c r="D217" s="108"/>
      <c r="E217" s="109"/>
      <c r="F217" s="25"/>
      <c r="G217" s="26"/>
      <c r="H217" s="25">
        <f t="shared" si="5"/>
        <v>0</v>
      </c>
      <c r="I217" s="62"/>
      <c r="J217" s="5"/>
      <c r="K217" s="5"/>
    </row>
    <row r="218" spans="1:11" s="4" customFormat="1" ht="15" customHeight="1" x14ac:dyDescent="0.2">
      <c r="A218" s="116"/>
      <c r="B218" s="83">
        <v>0</v>
      </c>
      <c r="C218" s="84">
        <v>2</v>
      </c>
      <c r="D218" s="9" t="s">
        <v>159</v>
      </c>
      <c r="E218" s="22" t="s">
        <v>160</v>
      </c>
      <c r="F218" s="11"/>
      <c r="G218" s="124"/>
      <c r="H218" s="11">
        <f t="shared" si="5"/>
        <v>0</v>
      </c>
      <c r="I218" s="125"/>
      <c r="J218" s="5"/>
      <c r="K218" s="5"/>
    </row>
    <row r="219" spans="1:11" s="4" customFormat="1" ht="15" customHeight="1" x14ac:dyDescent="0.2">
      <c r="A219" s="116"/>
      <c r="B219" s="83"/>
      <c r="C219" s="84"/>
      <c r="D219" s="9"/>
      <c r="E219" s="22" t="s">
        <v>161</v>
      </c>
      <c r="F219" s="11">
        <v>47580</v>
      </c>
      <c r="G219" s="124">
        <v>6314.9512243679073</v>
      </c>
      <c r="H219" s="11">
        <f t="shared" si="5"/>
        <v>18995.755365000001</v>
      </c>
      <c r="I219" s="125">
        <f>I220+I221+I222+I223+I224+I225+I226</f>
        <v>2521.17</v>
      </c>
      <c r="J219" s="3">
        <v>6314.9512243679073</v>
      </c>
      <c r="K219" s="3">
        <f>K220+K221+K222+K223+K224+K225+K226</f>
        <v>6274.170000000001</v>
      </c>
    </row>
    <row r="220" spans="1:11" s="4" customFormat="1" ht="15" customHeight="1" x14ac:dyDescent="0.2">
      <c r="A220" s="116">
        <v>42941</v>
      </c>
      <c r="B220" s="83"/>
      <c r="C220" s="84"/>
      <c r="D220" s="23" t="s">
        <v>50</v>
      </c>
      <c r="E220" s="106" t="s">
        <v>120</v>
      </c>
      <c r="F220" s="126"/>
      <c r="G220" s="127"/>
      <c r="H220" s="126">
        <f t="shared" si="5"/>
        <v>10925.025000000001</v>
      </c>
      <c r="I220" s="62">
        <v>1450</v>
      </c>
      <c r="J220" s="5"/>
      <c r="K220" s="62">
        <v>1450</v>
      </c>
    </row>
    <row r="221" spans="1:11" s="4" customFormat="1" ht="15" customHeight="1" x14ac:dyDescent="0.2">
      <c r="A221" s="116">
        <v>42913</v>
      </c>
      <c r="B221" s="83"/>
      <c r="C221" s="84"/>
      <c r="D221" s="23" t="s">
        <v>52</v>
      </c>
      <c r="E221" s="106" t="s">
        <v>121</v>
      </c>
      <c r="F221" s="126"/>
      <c r="G221" s="127"/>
      <c r="H221" s="126">
        <f t="shared" si="5"/>
        <v>1129.7229300000001</v>
      </c>
      <c r="I221" s="62">
        <v>149.94</v>
      </c>
      <c r="J221" s="5"/>
      <c r="K221" s="62">
        <v>149.94</v>
      </c>
    </row>
    <row r="222" spans="1:11" s="4" customFormat="1" ht="15" customHeight="1" x14ac:dyDescent="0.2">
      <c r="A222" s="234" t="s">
        <v>96</v>
      </c>
      <c r="B222" s="83"/>
      <c r="C222" s="84"/>
      <c r="D222" s="23" t="s">
        <v>53</v>
      </c>
      <c r="E222" s="106" t="s">
        <v>122</v>
      </c>
      <c r="F222" s="126"/>
      <c r="G222" s="127"/>
      <c r="H222" s="126">
        <f t="shared" si="5"/>
        <v>0</v>
      </c>
      <c r="I222" s="62"/>
      <c r="J222" s="5"/>
      <c r="K222" s="62">
        <f>1920</f>
        <v>1920</v>
      </c>
    </row>
    <row r="223" spans="1:11" s="4" customFormat="1" ht="15" customHeight="1" x14ac:dyDescent="0.2">
      <c r="A223" s="116">
        <v>42613</v>
      </c>
      <c r="B223" s="83"/>
      <c r="C223" s="84"/>
      <c r="D223" s="23" t="s">
        <v>55</v>
      </c>
      <c r="E223" s="106" t="s">
        <v>123</v>
      </c>
      <c r="F223" s="126"/>
      <c r="G223" s="127"/>
      <c r="H223" s="126">
        <f t="shared" si="5"/>
        <v>572.47131000000002</v>
      </c>
      <c r="I223" s="62">
        <v>75.98</v>
      </c>
      <c r="J223" s="5"/>
      <c r="K223" s="62">
        <v>75.98</v>
      </c>
    </row>
    <row r="224" spans="1:11" s="4" customFormat="1" ht="15" customHeight="1" x14ac:dyDescent="0.2">
      <c r="A224" s="116" t="s">
        <v>124</v>
      </c>
      <c r="B224" s="83"/>
      <c r="C224" s="84"/>
      <c r="D224" s="23" t="s">
        <v>57</v>
      </c>
      <c r="E224" s="106" t="s">
        <v>125</v>
      </c>
      <c r="F224" s="126"/>
      <c r="G224" s="127"/>
      <c r="H224" s="126">
        <f t="shared" si="5"/>
        <v>0</v>
      </c>
      <c r="I224" s="62"/>
      <c r="J224" s="5"/>
      <c r="K224" s="62">
        <f>223.03</f>
        <v>223.03</v>
      </c>
    </row>
    <row r="225" spans="1:11" s="4" customFormat="1" ht="15" customHeight="1" x14ac:dyDescent="0.2">
      <c r="A225" s="116">
        <v>42421</v>
      </c>
      <c r="B225" s="83"/>
      <c r="C225" s="84"/>
      <c r="D225" s="23" t="s">
        <v>126</v>
      </c>
      <c r="E225" s="106" t="s">
        <v>127</v>
      </c>
      <c r="F225" s="126"/>
      <c r="G225" s="127"/>
      <c r="H225" s="126">
        <f t="shared" si="5"/>
        <v>0</v>
      </c>
      <c r="I225" s="62"/>
      <c r="J225" s="5"/>
      <c r="K225" s="62">
        <v>655</v>
      </c>
    </row>
    <row r="226" spans="1:11" s="4" customFormat="1" ht="15" customHeight="1" x14ac:dyDescent="0.2">
      <c r="A226" s="116">
        <v>42616</v>
      </c>
      <c r="B226" s="83"/>
      <c r="C226" s="84"/>
      <c r="D226" s="108" t="s">
        <v>128</v>
      </c>
      <c r="E226" s="109" t="s">
        <v>129</v>
      </c>
      <c r="F226" s="11"/>
      <c r="G226" s="128"/>
      <c r="H226" s="11">
        <f t="shared" si="5"/>
        <v>6368.5361250000005</v>
      </c>
      <c r="I226" s="102">
        <v>845.25</v>
      </c>
      <c r="J226" s="5"/>
      <c r="K226" s="102">
        <v>1800.22</v>
      </c>
    </row>
    <row r="227" spans="1:11" s="4" customFormat="1" ht="15" customHeight="1" x14ac:dyDescent="0.2">
      <c r="A227" s="116"/>
      <c r="B227" s="83"/>
      <c r="C227" s="84"/>
      <c r="D227" s="108"/>
      <c r="E227" s="11"/>
      <c r="F227" s="11"/>
      <c r="G227" s="128"/>
      <c r="H227" s="11"/>
      <c r="I227" s="129"/>
      <c r="J227" s="5"/>
      <c r="K227" s="129"/>
    </row>
    <row r="228" spans="1:11" s="4" customFormat="1" ht="15" customHeight="1" x14ac:dyDescent="0.2">
      <c r="A228" s="116"/>
      <c r="B228" s="83">
        <v>0</v>
      </c>
      <c r="C228" s="84">
        <v>10</v>
      </c>
      <c r="D228" s="113" t="s">
        <v>162</v>
      </c>
      <c r="E228" s="130" t="s">
        <v>163</v>
      </c>
      <c r="F228" s="11">
        <v>15000</v>
      </c>
      <c r="G228" s="124">
        <v>1990.8421262193906</v>
      </c>
      <c r="H228" s="11">
        <f>H231+H232+H233+H234+H235+H236+H237</f>
        <v>22528.155000000002</v>
      </c>
      <c r="I228" s="125">
        <f>I231+I232+I233+I234+I235+I236+I237</f>
        <v>2990</v>
      </c>
      <c r="J228" s="5">
        <v>2990</v>
      </c>
      <c r="K228" s="5">
        <v>2990</v>
      </c>
    </row>
    <row r="229" spans="1:11" s="4" customFormat="1" ht="15" customHeight="1" x14ac:dyDescent="0.2">
      <c r="A229" s="116"/>
      <c r="B229" s="83"/>
      <c r="C229" s="84"/>
      <c r="D229" s="113"/>
      <c r="E229" s="24" t="s">
        <v>164</v>
      </c>
      <c r="F229" s="17"/>
      <c r="G229" s="91">
        <v>1000</v>
      </c>
      <c r="H229" s="11"/>
      <c r="I229" s="125"/>
      <c r="J229" s="5"/>
      <c r="K229" s="5"/>
    </row>
    <row r="230" spans="1:11" s="4" customFormat="1" ht="15" customHeight="1" x14ac:dyDescent="0.2">
      <c r="A230" s="116"/>
      <c r="B230" s="83"/>
      <c r="C230" s="84"/>
      <c r="D230" s="113"/>
      <c r="E230" s="92" t="s">
        <v>103</v>
      </c>
      <c r="F230" s="104"/>
      <c r="G230" s="105">
        <f>SUM(G228:G229)</f>
        <v>2990.8421262193906</v>
      </c>
      <c r="H230" s="11"/>
      <c r="I230" s="125"/>
      <c r="J230" s="5"/>
      <c r="K230" s="5"/>
    </row>
    <row r="231" spans="1:11" s="4" customFormat="1" ht="15" customHeight="1" x14ac:dyDescent="0.2">
      <c r="A231" s="116">
        <v>42941</v>
      </c>
      <c r="B231" s="83"/>
      <c r="C231" s="84"/>
      <c r="D231" s="23" t="s">
        <v>50</v>
      </c>
      <c r="E231" s="106" t="s">
        <v>120</v>
      </c>
      <c r="F231" s="126"/>
      <c r="G231" s="127"/>
      <c r="H231" s="126">
        <f>I231*$H$24</f>
        <v>16500.555</v>
      </c>
      <c r="I231" s="62">
        <v>2190</v>
      </c>
      <c r="J231" s="5"/>
      <c r="K231" s="5"/>
    </row>
    <row r="232" spans="1:11" s="4" customFormat="1" ht="15" customHeight="1" x14ac:dyDescent="0.2">
      <c r="A232" s="116">
        <v>42913</v>
      </c>
      <c r="B232" s="83"/>
      <c r="C232" s="84"/>
      <c r="D232" s="23" t="s">
        <v>52</v>
      </c>
      <c r="E232" s="106" t="s">
        <v>121</v>
      </c>
      <c r="F232" s="126"/>
      <c r="G232" s="127"/>
      <c r="H232" s="126">
        <f t="shared" ref="H232:H237" si="6">I232*$H$24</f>
        <v>713.96922000000006</v>
      </c>
      <c r="I232" s="62">
        <v>94.76</v>
      </c>
      <c r="J232" s="5"/>
      <c r="K232" s="5"/>
    </row>
    <row r="233" spans="1:11" s="4" customFormat="1" ht="15" customHeight="1" x14ac:dyDescent="0.2">
      <c r="A233" s="234" t="s">
        <v>96</v>
      </c>
      <c r="B233" s="83"/>
      <c r="C233" s="84"/>
      <c r="D233" s="23" t="s">
        <v>53</v>
      </c>
      <c r="E233" s="106" t="s">
        <v>122</v>
      </c>
      <c r="F233" s="126"/>
      <c r="G233" s="127"/>
      <c r="H233" s="126">
        <f t="shared" si="6"/>
        <v>2884.734015</v>
      </c>
      <c r="I233" s="62">
        <f>284.57+98.3</f>
        <v>382.87</v>
      </c>
      <c r="J233" s="5"/>
      <c r="K233" s="5"/>
    </row>
    <row r="234" spans="1:11" s="4" customFormat="1" ht="15" customHeight="1" x14ac:dyDescent="0.2">
      <c r="A234" s="116">
        <v>42613</v>
      </c>
      <c r="B234" s="83"/>
      <c r="C234" s="84"/>
      <c r="D234" s="23" t="s">
        <v>55</v>
      </c>
      <c r="E234" s="106" t="s">
        <v>123</v>
      </c>
      <c r="F234" s="126"/>
      <c r="G234" s="127"/>
      <c r="H234" s="126">
        <f t="shared" si="6"/>
        <v>0</v>
      </c>
      <c r="I234" s="62"/>
      <c r="J234" s="5"/>
      <c r="K234" s="5"/>
    </row>
    <row r="235" spans="1:11" s="4" customFormat="1" ht="15" customHeight="1" x14ac:dyDescent="0.2">
      <c r="A235" s="116" t="s">
        <v>124</v>
      </c>
      <c r="B235" s="83"/>
      <c r="C235" s="84"/>
      <c r="D235" s="23" t="s">
        <v>57</v>
      </c>
      <c r="E235" s="106" t="s">
        <v>125</v>
      </c>
      <c r="F235" s="126"/>
      <c r="G235" s="127"/>
      <c r="H235" s="126">
        <f t="shared" si="6"/>
        <v>2428.896765</v>
      </c>
      <c r="I235" s="62">
        <v>322.37</v>
      </c>
      <c r="J235" s="5"/>
      <c r="K235" s="5"/>
    </row>
    <row r="236" spans="1:11" s="4" customFormat="1" ht="15" customHeight="1" x14ac:dyDescent="0.2">
      <c r="A236" s="116">
        <v>42421</v>
      </c>
      <c r="B236" s="83"/>
      <c r="C236" s="84"/>
      <c r="D236" s="23" t="s">
        <v>126</v>
      </c>
      <c r="E236" s="106" t="s">
        <v>127</v>
      </c>
      <c r="F236" s="126"/>
      <c r="G236" s="127"/>
      <c r="H236" s="126">
        <f t="shared" si="6"/>
        <v>0</v>
      </c>
      <c r="I236" s="62"/>
      <c r="J236" s="5"/>
      <c r="K236" s="5"/>
    </row>
    <row r="237" spans="1:11" s="4" customFormat="1" ht="15" customHeight="1" x14ac:dyDescent="0.2">
      <c r="A237" s="116">
        <v>42616</v>
      </c>
      <c r="B237" s="83"/>
      <c r="C237" s="84"/>
      <c r="D237" s="108" t="s">
        <v>128</v>
      </c>
      <c r="E237" s="109" t="s">
        <v>129</v>
      </c>
      <c r="F237" s="11"/>
      <c r="G237" s="128"/>
      <c r="H237" s="11">
        <f t="shared" si="6"/>
        <v>0</v>
      </c>
      <c r="I237" s="102"/>
      <c r="J237" s="5"/>
      <c r="K237" s="5"/>
    </row>
    <row r="238" spans="1:11" s="4" customFormat="1" ht="15" customHeight="1" x14ac:dyDescent="0.2">
      <c r="A238" s="116"/>
      <c r="B238" s="83"/>
      <c r="C238" s="84"/>
      <c r="D238" s="108"/>
      <c r="E238" s="131" t="s">
        <v>165</v>
      </c>
      <c r="F238" s="132"/>
      <c r="G238" s="133"/>
      <c r="H238" s="132"/>
      <c r="I238" s="134"/>
      <c r="J238" s="135"/>
      <c r="K238" s="241">
        <v>-1000</v>
      </c>
    </row>
    <row r="239" spans="1:11" s="4" customFormat="1" ht="15" customHeight="1" x14ac:dyDescent="0.2">
      <c r="A239" s="116"/>
      <c r="B239" s="83">
        <v>0</v>
      </c>
      <c r="C239" s="84">
        <v>6</v>
      </c>
      <c r="D239" s="113" t="s">
        <v>166</v>
      </c>
      <c r="E239" s="61"/>
      <c r="F239" s="11"/>
      <c r="G239" s="124"/>
      <c r="H239" s="11">
        <f>I239*$H$24</f>
        <v>0</v>
      </c>
      <c r="I239" s="125"/>
      <c r="J239" s="5"/>
      <c r="K239" s="5"/>
    </row>
    <row r="240" spans="1:11" s="137" customFormat="1" ht="15" customHeight="1" x14ac:dyDescent="0.2">
      <c r="A240" s="116"/>
      <c r="D240" s="113" t="s">
        <v>116</v>
      </c>
      <c r="E240" s="22" t="s">
        <v>167</v>
      </c>
      <c r="F240" s="11">
        <v>15000</v>
      </c>
      <c r="G240" s="124">
        <v>1990.8421262193906</v>
      </c>
      <c r="H240" s="11">
        <f>I240*$H$24</f>
        <v>0</v>
      </c>
      <c r="I240" s="125">
        <v>0</v>
      </c>
      <c r="J240" s="5">
        <v>0</v>
      </c>
      <c r="K240" s="5">
        <v>0</v>
      </c>
    </row>
    <row r="241" spans="1:11" s="137" customFormat="1" ht="15" customHeight="1" x14ac:dyDescent="0.2">
      <c r="A241" s="116"/>
      <c r="B241" s="83"/>
      <c r="C241" s="84"/>
      <c r="D241" s="113"/>
      <c r="E241" s="22"/>
      <c r="F241" s="11"/>
      <c r="G241" s="124"/>
      <c r="H241" s="11"/>
      <c r="I241" s="125"/>
      <c r="J241" s="5"/>
      <c r="K241" s="5"/>
    </row>
    <row r="242" spans="1:11" s="137" customFormat="1" ht="15" customHeight="1" x14ac:dyDescent="0.2">
      <c r="A242" s="116"/>
      <c r="B242" s="83">
        <v>73</v>
      </c>
      <c r="C242" s="84"/>
      <c r="D242" s="113" t="s">
        <v>130</v>
      </c>
      <c r="E242" s="22" t="s">
        <v>168</v>
      </c>
      <c r="F242" s="11"/>
      <c r="G242" s="138">
        <v>1100</v>
      </c>
      <c r="H242" s="126">
        <f>I242*$H$24</f>
        <v>11301.75</v>
      </c>
      <c r="I242" s="125">
        <v>1500</v>
      </c>
      <c r="J242" s="125">
        <v>1500</v>
      </c>
      <c r="K242" s="125">
        <v>1500</v>
      </c>
    </row>
    <row r="243" spans="1:11" s="137" customFormat="1" ht="15" customHeight="1" x14ac:dyDescent="0.2">
      <c r="A243" s="116"/>
      <c r="B243" s="83"/>
      <c r="C243" s="84"/>
      <c r="D243" s="113"/>
      <c r="E243" s="24" t="s">
        <v>169</v>
      </c>
      <c r="F243" s="11"/>
      <c r="G243" s="138">
        <v>400</v>
      </c>
      <c r="H243" s="11"/>
      <c r="I243" s="125"/>
      <c r="J243" s="5"/>
      <c r="K243" s="5"/>
    </row>
    <row r="244" spans="1:11" s="137" customFormat="1" ht="15" customHeight="1" x14ac:dyDescent="0.3">
      <c r="A244" s="116"/>
      <c r="B244" s="83"/>
      <c r="C244" s="84"/>
      <c r="D244" s="113"/>
      <c r="E244" s="92" t="s">
        <v>103</v>
      </c>
      <c r="F244" s="11"/>
      <c r="G244" s="139">
        <f>SUM(G242:G243)</f>
        <v>1500</v>
      </c>
      <c r="H244" s="11"/>
      <c r="I244" s="125"/>
      <c r="J244" s="5"/>
      <c r="K244" s="5"/>
    </row>
    <row r="245" spans="1:11" s="137" customFormat="1" ht="15" customHeight="1" x14ac:dyDescent="0.3">
      <c r="A245" s="116"/>
      <c r="B245" s="83"/>
      <c r="C245" s="84"/>
      <c r="D245" s="113"/>
      <c r="E245" s="92"/>
      <c r="F245" s="11"/>
      <c r="G245" s="139"/>
      <c r="H245" s="11"/>
      <c r="I245" s="125"/>
      <c r="J245" s="5"/>
      <c r="K245" s="5"/>
    </row>
    <row r="246" spans="1:11" s="4" customFormat="1" ht="15" customHeight="1" x14ac:dyDescent="0.2">
      <c r="A246" s="116"/>
      <c r="B246" s="83">
        <v>0</v>
      </c>
      <c r="C246" s="84">
        <v>11</v>
      </c>
      <c r="D246" s="9" t="s">
        <v>170</v>
      </c>
      <c r="E246" s="22" t="s">
        <v>171</v>
      </c>
      <c r="F246" s="11">
        <v>15000</v>
      </c>
      <c r="G246" s="124">
        <v>1990.8421262193906</v>
      </c>
      <c r="H246" s="11">
        <f>I246*$H$24</f>
        <v>14993.655000000001</v>
      </c>
      <c r="I246" s="125">
        <f>I247</f>
        <v>1990</v>
      </c>
      <c r="J246" s="5">
        <v>1990</v>
      </c>
      <c r="K246" s="5">
        <v>1990</v>
      </c>
    </row>
    <row r="247" spans="1:11" s="4" customFormat="1" ht="15" customHeight="1" x14ac:dyDescent="0.2">
      <c r="A247" s="116">
        <v>42941</v>
      </c>
      <c r="B247" s="83"/>
      <c r="C247" s="84"/>
      <c r="D247" s="23" t="s">
        <v>50</v>
      </c>
      <c r="E247" s="106" t="s">
        <v>120</v>
      </c>
      <c r="F247" s="126"/>
      <c r="G247" s="127"/>
      <c r="H247" s="126">
        <f>I247*$H$24</f>
        <v>14993.655000000001</v>
      </c>
      <c r="I247" s="62">
        <v>1990</v>
      </c>
      <c r="J247" s="5"/>
      <c r="K247" s="5"/>
    </row>
    <row r="248" spans="1:11" s="120" customFormat="1" ht="15" customHeight="1" x14ac:dyDescent="0.2">
      <c r="A248" s="116"/>
      <c r="B248" s="83"/>
      <c r="C248" s="84"/>
      <c r="D248" s="23" t="s">
        <v>52</v>
      </c>
      <c r="E248" s="61" t="s">
        <v>172</v>
      </c>
      <c r="F248" s="17">
        <v>20000</v>
      </c>
      <c r="G248" s="20">
        <v>2654.4561682925209</v>
      </c>
      <c r="H248" s="17">
        <f>I248*$H$24</f>
        <v>22367.971529999999</v>
      </c>
      <c r="I248" s="21">
        <f>I249+I250</f>
        <v>2968.74</v>
      </c>
      <c r="J248" s="5">
        <v>2968.74</v>
      </c>
      <c r="K248" s="5">
        <v>2968.74</v>
      </c>
    </row>
    <row r="249" spans="1:11" s="120" customFormat="1" ht="15" customHeight="1" x14ac:dyDescent="0.2">
      <c r="A249" s="234" t="s">
        <v>96</v>
      </c>
      <c r="B249" s="83"/>
      <c r="C249" s="84"/>
      <c r="D249" s="23" t="s">
        <v>53</v>
      </c>
      <c r="E249" s="61" t="s">
        <v>122</v>
      </c>
      <c r="F249" s="70"/>
      <c r="G249" s="71"/>
      <c r="H249" s="70">
        <f>I249*$H$24</f>
        <v>9029.1941100000004</v>
      </c>
      <c r="I249" s="62">
        <f>53.11+133+6.4+132.77+33.5+668.5+26.5+133+11.6</f>
        <v>1198.3799999999999</v>
      </c>
      <c r="J249" s="5"/>
      <c r="K249" s="5"/>
    </row>
    <row r="250" spans="1:11" s="4" customFormat="1" ht="15" customHeight="1" x14ac:dyDescent="0.2">
      <c r="A250" s="116">
        <v>42421</v>
      </c>
      <c r="B250" s="83"/>
      <c r="C250" s="84"/>
      <c r="D250" s="23" t="s">
        <v>55</v>
      </c>
      <c r="E250" s="106" t="s">
        <v>127</v>
      </c>
      <c r="F250" s="126"/>
      <c r="G250" s="127"/>
      <c r="H250" s="126">
        <f>I250*$H$24</f>
        <v>13338.77742</v>
      </c>
      <c r="I250" s="62">
        <v>1770.36</v>
      </c>
      <c r="J250" s="5"/>
      <c r="K250" s="5"/>
    </row>
    <row r="251" spans="1:11" s="4" customFormat="1" ht="15" customHeight="1" x14ac:dyDescent="0.2">
      <c r="A251" s="116"/>
      <c r="B251" s="83"/>
      <c r="C251" s="84"/>
      <c r="D251" s="108"/>
      <c r="E251" s="106"/>
      <c r="F251" s="126"/>
      <c r="G251" s="127"/>
      <c r="H251" s="126"/>
      <c r="I251" s="140"/>
      <c r="J251" s="5"/>
      <c r="K251" s="5"/>
    </row>
    <row r="252" spans="1:11" s="4" customFormat="1" ht="15" customHeight="1" x14ac:dyDescent="0.2">
      <c r="A252" s="116"/>
      <c r="B252" s="83">
        <v>0</v>
      </c>
      <c r="C252" s="84">
        <v>12</v>
      </c>
      <c r="D252" s="9" t="s">
        <v>173</v>
      </c>
      <c r="E252" s="22" t="s">
        <v>174</v>
      </c>
      <c r="F252" s="17">
        <v>15000</v>
      </c>
      <c r="G252" s="20">
        <v>1990.8421262193906</v>
      </c>
      <c r="H252" s="17">
        <f>I252*$H$24</f>
        <v>11678.475</v>
      </c>
      <c r="I252" s="21">
        <f>I255</f>
        <v>1550</v>
      </c>
      <c r="J252" s="20">
        <v>1990.8421262193906</v>
      </c>
      <c r="K252" s="20">
        <f>K255+K256+K257</f>
        <v>5490</v>
      </c>
    </row>
    <row r="253" spans="1:11" s="4" customFormat="1" ht="15" customHeight="1" x14ac:dyDescent="0.2">
      <c r="A253" s="116"/>
      <c r="B253" s="83"/>
      <c r="C253" s="84"/>
      <c r="D253" s="9"/>
      <c r="E253" s="24" t="s">
        <v>149</v>
      </c>
      <c r="F253" s="17"/>
      <c r="G253" s="91">
        <v>3500</v>
      </c>
      <c r="H253" s="17"/>
      <c r="I253" s="21"/>
      <c r="J253" s="5"/>
      <c r="K253" s="5"/>
    </row>
    <row r="254" spans="1:11" s="4" customFormat="1" ht="15" customHeight="1" x14ac:dyDescent="0.2">
      <c r="A254" s="116"/>
      <c r="B254" s="83"/>
      <c r="C254" s="84"/>
      <c r="D254" s="9"/>
      <c r="E254" s="92" t="s">
        <v>103</v>
      </c>
      <c r="F254" s="104"/>
      <c r="G254" s="105">
        <f>SUM(G252:G253)</f>
        <v>5490.8421262193906</v>
      </c>
      <c r="H254" s="17"/>
      <c r="I254" s="21"/>
      <c r="J254" s="5"/>
      <c r="K254" s="5"/>
    </row>
    <row r="255" spans="1:11" s="4" customFormat="1" ht="15" customHeight="1" x14ac:dyDescent="0.2">
      <c r="A255" s="116">
        <v>42941</v>
      </c>
      <c r="B255" s="83"/>
      <c r="C255" s="84"/>
      <c r="D255" s="23" t="s">
        <v>50</v>
      </c>
      <c r="E255" s="106" t="s">
        <v>120</v>
      </c>
      <c r="F255" s="126"/>
      <c r="G255" s="127"/>
      <c r="H255" s="126">
        <f>I255*$H$24</f>
        <v>11678.475</v>
      </c>
      <c r="I255" s="62">
        <v>1550</v>
      </c>
      <c r="J255" s="5"/>
      <c r="K255" s="62">
        <v>1550</v>
      </c>
    </row>
    <row r="256" spans="1:11" s="4" customFormat="1" ht="15" customHeight="1" x14ac:dyDescent="0.2">
      <c r="A256" s="116">
        <v>42552</v>
      </c>
      <c r="B256" s="83"/>
      <c r="C256" s="84"/>
      <c r="D256" s="23" t="s">
        <v>52</v>
      </c>
      <c r="E256" s="106" t="s">
        <v>175</v>
      </c>
      <c r="F256" s="126"/>
      <c r="G256" s="127"/>
      <c r="H256" s="126"/>
      <c r="I256" s="62"/>
      <c r="J256" s="5"/>
      <c r="K256" s="62">
        <v>7520</v>
      </c>
    </row>
    <row r="257" spans="1:11" s="4" customFormat="1" ht="15" customHeight="1" x14ac:dyDescent="0.2">
      <c r="A257" s="116"/>
      <c r="B257" s="83"/>
      <c r="C257" s="84"/>
      <c r="D257" s="23"/>
      <c r="E257" s="96" t="s">
        <v>176</v>
      </c>
      <c r="F257" s="126"/>
      <c r="G257" s="127"/>
      <c r="H257" s="126"/>
      <c r="I257" s="62"/>
      <c r="J257" s="5"/>
      <c r="K257" s="97">
        <v>-3580</v>
      </c>
    </row>
    <row r="258" spans="1:11" s="4" customFormat="1" ht="15" customHeight="1" x14ac:dyDescent="0.2">
      <c r="A258" s="116"/>
      <c r="B258" s="83"/>
      <c r="C258" s="84"/>
      <c r="D258" s="23"/>
      <c r="E258" s="17"/>
      <c r="F258" s="17"/>
      <c r="G258" s="20"/>
      <c r="H258" s="17">
        <f t="shared" ref="H258:H264" si="7">I258*$H$24</f>
        <v>0</v>
      </c>
      <c r="I258" s="21"/>
      <c r="J258" s="5"/>
      <c r="K258" s="5"/>
    </row>
    <row r="259" spans="1:11" s="4" customFormat="1" ht="15" customHeight="1" x14ac:dyDescent="0.2">
      <c r="A259" s="116"/>
      <c r="B259" s="83">
        <v>0</v>
      </c>
      <c r="C259" s="84">
        <v>19</v>
      </c>
      <c r="D259" s="9" t="s">
        <v>177</v>
      </c>
      <c r="E259" s="22" t="s">
        <v>178</v>
      </c>
      <c r="F259" s="17">
        <v>15000</v>
      </c>
      <c r="G259" s="20">
        <v>1990.8421262193906</v>
      </c>
      <c r="H259" s="17">
        <f t="shared" si="7"/>
        <v>15000</v>
      </c>
      <c r="I259" s="21">
        <v>1990.8421262193906</v>
      </c>
      <c r="J259" s="21">
        <v>1990.8421262193906</v>
      </c>
      <c r="K259" s="21">
        <v>1990.8421262193906</v>
      </c>
    </row>
    <row r="260" spans="1:11" s="4" customFormat="1" ht="15" customHeight="1" x14ac:dyDescent="0.2">
      <c r="A260" s="116"/>
      <c r="B260" s="83"/>
      <c r="C260" s="84"/>
      <c r="D260" s="9"/>
      <c r="E260" s="22"/>
      <c r="F260" s="17"/>
      <c r="G260" s="20"/>
      <c r="H260" s="17">
        <f t="shared" si="7"/>
        <v>0</v>
      </c>
      <c r="I260" s="21"/>
      <c r="J260" s="21"/>
      <c r="K260" s="21"/>
    </row>
    <row r="261" spans="1:11" s="4" customFormat="1" ht="15" customHeight="1" x14ac:dyDescent="0.2">
      <c r="A261" s="116"/>
      <c r="B261" s="83"/>
      <c r="C261" s="84"/>
      <c r="D261" s="9" t="s">
        <v>179</v>
      </c>
      <c r="E261" s="22" t="s">
        <v>180</v>
      </c>
      <c r="F261" s="17">
        <v>15000</v>
      </c>
      <c r="G261" s="20">
        <v>1990.8421262193906</v>
      </c>
      <c r="H261" s="17">
        <f t="shared" si="7"/>
        <v>11803.69839</v>
      </c>
      <c r="I261" s="21">
        <f>I262+I263</f>
        <v>1566.62</v>
      </c>
      <c r="J261" s="21">
        <f>I261</f>
        <v>1566.62</v>
      </c>
      <c r="K261" s="21">
        <f>J261</f>
        <v>1566.62</v>
      </c>
    </row>
    <row r="262" spans="1:11" s="4" customFormat="1" ht="15" customHeight="1" x14ac:dyDescent="0.2">
      <c r="A262" s="116">
        <v>42941</v>
      </c>
      <c r="B262" s="83"/>
      <c r="C262" s="84"/>
      <c r="D262" s="23" t="s">
        <v>50</v>
      </c>
      <c r="E262" s="106" t="s">
        <v>120</v>
      </c>
      <c r="F262" s="126"/>
      <c r="G262" s="127"/>
      <c r="H262" s="126">
        <f t="shared" si="7"/>
        <v>10925.025000000001</v>
      </c>
      <c r="I262" s="62">
        <v>1450</v>
      </c>
      <c r="J262" s="5"/>
      <c r="K262" s="5"/>
    </row>
    <row r="263" spans="1:11" s="4" customFormat="1" ht="15" customHeight="1" x14ac:dyDescent="0.2">
      <c r="A263" s="116">
        <v>42913</v>
      </c>
      <c r="B263" s="83"/>
      <c r="C263" s="84"/>
      <c r="D263" s="23" t="s">
        <v>52</v>
      </c>
      <c r="E263" s="106" t="s">
        <v>121</v>
      </c>
      <c r="F263" s="126"/>
      <c r="G263" s="127"/>
      <c r="H263" s="126">
        <f t="shared" si="7"/>
        <v>878.67339000000004</v>
      </c>
      <c r="I263" s="62">
        <v>116.62</v>
      </c>
      <c r="J263" s="5"/>
      <c r="K263" s="5"/>
    </row>
    <row r="264" spans="1:11" s="4" customFormat="1" ht="15" customHeight="1" x14ac:dyDescent="0.2">
      <c r="A264" s="116"/>
      <c r="B264" s="83"/>
      <c r="C264" s="84"/>
      <c r="D264" s="9"/>
      <c r="E264" s="61"/>
      <c r="F264" s="17"/>
      <c r="G264" s="20"/>
      <c r="H264" s="17">
        <f t="shared" si="7"/>
        <v>0</v>
      </c>
      <c r="I264" s="141"/>
      <c r="J264" s="5"/>
      <c r="K264" s="5"/>
    </row>
    <row r="265" spans="1:11" s="4" customFormat="1" ht="15" customHeight="1" x14ac:dyDescent="0.2">
      <c r="A265" s="116"/>
      <c r="B265" s="83">
        <v>0</v>
      </c>
      <c r="C265" s="84">
        <v>21</v>
      </c>
      <c r="D265" s="142" t="s">
        <v>181</v>
      </c>
      <c r="E265" s="143" t="s">
        <v>182</v>
      </c>
      <c r="F265" s="117">
        <v>15000</v>
      </c>
      <c r="G265" s="144">
        <v>1990.8421262193906</v>
      </c>
      <c r="H265" s="17">
        <f>H268+H269+H270+H271</f>
        <v>20782.26066</v>
      </c>
      <c r="I265" s="21">
        <f>I268+I269+I270+I271</f>
        <v>2758.2799999999997</v>
      </c>
      <c r="J265" s="5">
        <f>I265</f>
        <v>2758.2799999999997</v>
      </c>
      <c r="K265" s="5">
        <f>J265</f>
        <v>2758.2799999999997</v>
      </c>
    </row>
    <row r="266" spans="1:11" s="4" customFormat="1" ht="15" customHeight="1" x14ac:dyDescent="0.2">
      <c r="A266" s="116"/>
      <c r="B266" s="83"/>
      <c r="C266" s="84"/>
      <c r="D266" s="9"/>
      <c r="E266" s="24" t="s">
        <v>176</v>
      </c>
      <c r="F266" s="17"/>
      <c r="G266" s="91">
        <f>I265-G265</f>
        <v>767.43787378060915</v>
      </c>
      <c r="H266" s="17"/>
      <c r="I266" s="21"/>
      <c r="J266" s="5"/>
      <c r="K266" s="5"/>
    </row>
    <row r="267" spans="1:11" s="4" customFormat="1" ht="15" customHeight="1" x14ac:dyDescent="0.2">
      <c r="A267" s="116"/>
      <c r="B267" s="83"/>
      <c r="C267" s="84"/>
      <c r="D267" s="9"/>
      <c r="E267" s="92" t="s">
        <v>103</v>
      </c>
      <c r="F267" s="104"/>
      <c r="G267" s="105">
        <f>SUM(G265:G266)</f>
        <v>2758.2799999999997</v>
      </c>
      <c r="H267" s="17"/>
      <c r="I267" s="21"/>
      <c r="J267" s="5"/>
      <c r="K267" s="5"/>
    </row>
    <row r="268" spans="1:11" s="4" customFormat="1" ht="15" customHeight="1" x14ac:dyDescent="0.2">
      <c r="A268" s="116">
        <v>42941</v>
      </c>
      <c r="B268" s="83"/>
      <c r="C268" s="84"/>
      <c r="D268" s="23" t="s">
        <v>50</v>
      </c>
      <c r="E268" s="106" t="s">
        <v>120</v>
      </c>
      <c r="F268" s="126"/>
      <c r="G268" s="127"/>
      <c r="H268" s="126">
        <f>I268*$H$24</f>
        <v>10171.575000000001</v>
      </c>
      <c r="I268" s="62">
        <v>1350</v>
      </c>
      <c r="J268" s="5"/>
      <c r="K268" s="5"/>
    </row>
    <row r="269" spans="1:11" s="4" customFormat="1" ht="15" customHeight="1" x14ac:dyDescent="0.2">
      <c r="A269" s="116">
        <v>42913</v>
      </c>
      <c r="B269" s="83"/>
      <c r="C269" s="84"/>
      <c r="D269" s="23" t="s">
        <v>52</v>
      </c>
      <c r="E269" s="106" t="s">
        <v>121</v>
      </c>
      <c r="F269" s="126"/>
      <c r="G269" s="127"/>
      <c r="H269" s="126">
        <f>I269*$H$24</f>
        <v>1004.19816</v>
      </c>
      <c r="I269" s="62">
        <v>133.28</v>
      </c>
      <c r="J269" s="5"/>
      <c r="K269" s="5"/>
    </row>
    <row r="270" spans="1:11" s="4" customFormat="1" ht="15" customHeight="1" x14ac:dyDescent="0.2">
      <c r="A270" s="116">
        <v>42421</v>
      </c>
      <c r="B270" s="83"/>
      <c r="C270" s="84"/>
      <c r="D270" s="23" t="s">
        <v>53</v>
      </c>
      <c r="E270" s="106" t="s">
        <v>127</v>
      </c>
      <c r="F270" s="126"/>
      <c r="G270" s="127"/>
      <c r="H270" s="126">
        <f>I270*$H$24</f>
        <v>1876.0905</v>
      </c>
      <c r="I270" s="62">
        <v>249</v>
      </c>
      <c r="J270" s="5"/>
      <c r="K270" s="5"/>
    </row>
    <row r="271" spans="1:11" s="4" customFormat="1" ht="15" customHeight="1" x14ac:dyDescent="0.2">
      <c r="A271" s="116">
        <v>42616</v>
      </c>
      <c r="B271" s="83"/>
      <c r="C271" s="84"/>
      <c r="D271" s="23" t="s">
        <v>55</v>
      </c>
      <c r="E271" s="109" t="s">
        <v>129</v>
      </c>
      <c r="F271" s="126"/>
      <c r="G271" s="127"/>
      <c r="H271" s="126">
        <f>I271*$H$24</f>
        <v>7730.3970000000008</v>
      </c>
      <c r="I271" s="62">
        <v>1026</v>
      </c>
      <c r="J271" s="5"/>
      <c r="K271" s="5"/>
    </row>
    <row r="272" spans="1:11" s="4" customFormat="1" ht="15" customHeight="1" x14ac:dyDescent="0.2">
      <c r="A272" s="116"/>
      <c r="B272" s="83"/>
      <c r="C272" s="84"/>
      <c r="D272" s="23"/>
      <c r="E272" s="131" t="s">
        <v>176</v>
      </c>
      <c r="F272" s="132"/>
      <c r="G272" s="145"/>
      <c r="H272" s="132"/>
      <c r="I272" s="146"/>
      <c r="J272" s="147"/>
      <c r="K272" s="136">
        <f>-G266</f>
        <v>-767.43787378060915</v>
      </c>
    </row>
    <row r="273" spans="1:11" s="4" customFormat="1" ht="15" customHeight="1" x14ac:dyDescent="0.2">
      <c r="A273" s="116"/>
      <c r="B273" s="83"/>
      <c r="C273" s="84"/>
      <c r="D273" s="108"/>
      <c r="E273" s="109"/>
      <c r="F273" s="126"/>
      <c r="G273" s="127"/>
      <c r="H273" s="126"/>
      <c r="I273" s="62"/>
      <c r="J273" s="5"/>
      <c r="K273" s="5"/>
    </row>
    <row r="274" spans="1:11" s="4" customFormat="1" ht="15" customHeight="1" x14ac:dyDescent="0.2">
      <c r="A274" s="116"/>
      <c r="B274" s="83"/>
      <c r="C274" s="84"/>
      <c r="D274" s="148" t="s">
        <v>183</v>
      </c>
      <c r="E274" s="149" t="s">
        <v>184</v>
      </c>
      <c r="F274" s="17">
        <v>15000</v>
      </c>
      <c r="G274" s="91">
        <v>1990.8421262193906</v>
      </c>
      <c r="H274" s="17">
        <f>I274*$H$24</f>
        <v>0</v>
      </c>
      <c r="I274" s="141"/>
      <c r="J274" s="5"/>
      <c r="K274" s="5"/>
    </row>
    <row r="275" spans="1:11" s="4" customFormat="1" ht="15" customHeight="1" x14ac:dyDescent="0.2">
      <c r="A275" s="116"/>
      <c r="B275" s="83"/>
      <c r="C275" s="84"/>
      <c r="D275" s="9"/>
      <c r="E275" s="22"/>
      <c r="F275" s="17"/>
      <c r="G275" s="20"/>
      <c r="H275" s="17">
        <f>I275*$H$24</f>
        <v>0</v>
      </c>
      <c r="I275" s="21"/>
      <c r="J275" s="5"/>
      <c r="K275" s="5"/>
    </row>
    <row r="276" spans="1:11" s="4" customFormat="1" ht="15" customHeight="1" x14ac:dyDescent="0.2">
      <c r="A276" s="116"/>
      <c r="B276" s="83">
        <v>0</v>
      </c>
      <c r="C276" s="84">
        <v>22</v>
      </c>
      <c r="D276" s="9" t="s">
        <v>185</v>
      </c>
      <c r="E276" s="22" t="s">
        <v>186</v>
      </c>
      <c r="F276" s="17">
        <v>15000</v>
      </c>
      <c r="G276" s="20">
        <v>1990.8421262193906</v>
      </c>
      <c r="H276" s="17">
        <f>I276*$H$24</f>
        <v>11301.75</v>
      </c>
      <c r="I276" s="21">
        <f>I279</f>
        <v>1500</v>
      </c>
      <c r="J276" s="3">
        <f>G276</f>
        <v>1990.8421262193906</v>
      </c>
      <c r="K276" s="3">
        <f>K279+K280+K281</f>
        <v>2290</v>
      </c>
    </row>
    <row r="277" spans="1:11" s="4" customFormat="1" ht="15" customHeight="1" x14ac:dyDescent="0.2">
      <c r="A277" s="116"/>
      <c r="B277" s="83"/>
      <c r="C277" s="84"/>
      <c r="D277" s="9"/>
      <c r="E277" s="24" t="s">
        <v>149</v>
      </c>
      <c r="F277" s="17"/>
      <c r="G277" s="91">
        <v>300</v>
      </c>
      <c r="H277" s="17"/>
      <c r="I277" s="21"/>
      <c r="J277" s="5"/>
      <c r="K277" s="5"/>
    </row>
    <row r="278" spans="1:11" s="4" customFormat="1" ht="15" customHeight="1" x14ac:dyDescent="0.2">
      <c r="A278" s="116"/>
      <c r="B278" s="83"/>
      <c r="C278" s="84"/>
      <c r="D278" s="9"/>
      <c r="E278" s="92" t="s">
        <v>103</v>
      </c>
      <c r="F278" s="104"/>
      <c r="G278" s="105">
        <f>SUM(G276:G277)</f>
        <v>2290.8421262193906</v>
      </c>
      <c r="H278" s="17"/>
      <c r="I278" s="21"/>
      <c r="J278" s="5"/>
      <c r="K278" s="5"/>
    </row>
    <row r="279" spans="1:11" s="4" customFormat="1" ht="15" customHeight="1" x14ac:dyDescent="0.2">
      <c r="A279" s="116">
        <v>42941</v>
      </c>
      <c r="B279" s="83"/>
      <c r="C279" s="84"/>
      <c r="D279" s="23" t="s">
        <v>50</v>
      </c>
      <c r="E279" s="106" t="s">
        <v>120</v>
      </c>
      <c r="F279" s="126"/>
      <c r="G279" s="127"/>
      <c r="H279" s="126">
        <f>I279*$H$24</f>
        <v>11301.75</v>
      </c>
      <c r="I279" s="62">
        <v>1500</v>
      </c>
      <c r="J279" s="5"/>
      <c r="K279" s="65">
        <v>1500</v>
      </c>
    </row>
    <row r="280" spans="1:11" s="4" customFormat="1" ht="15" customHeight="1" x14ac:dyDescent="0.2">
      <c r="A280" s="116">
        <v>42552</v>
      </c>
      <c r="B280" s="83"/>
      <c r="C280" s="84"/>
      <c r="D280" s="23" t="s">
        <v>52</v>
      </c>
      <c r="E280" s="106" t="s">
        <v>175</v>
      </c>
      <c r="F280" s="126"/>
      <c r="G280" s="127"/>
      <c r="H280" s="126"/>
      <c r="I280" s="62"/>
      <c r="J280" s="5"/>
      <c r="K280" s="65">
        <v>2090</v>
      </c>
    </row>
    <row r="281" spans="1:11" s="4" customFormat="1" ht="15" customHeight="1" x14ac:dyDescent="0.2">
      <c r="A281" s="116"/>
      <c r="B281" s="83"/>
      <c r="C281" s="84"/>
      <c r="D281" s="23"/>
      <c r="E281" s="96" t="s">
        <v>176</v>
      </c>
      <c r="F281" s="126"/>
      <c r="G281" s="150"/>
      <c r="H281" s="126"/>
      <c r="I281" s="97"/>
      <c r="J281" s="151"/>
      <c r="K281" s="242">
        <v>-1300</v>
      </c>
    </row>
    <row r="282" spans="1:11" s="4" customFormat="1" ht="15" customHeight="1" x14ac:dyDescent="0.2">
      <c r="A282" s="116"/>
      <c r="B282" s="83"/>
      <c r="C282" s="84"/>
      <c r="D282" s="9"/>
      <c r="E282" s="61"/>
      <c r="F282" s="17"/>
      <c r="G282" s="20"/>
      <c r="H282" s="17">
        <f>I282*$H$24</f>
        <v>0</v>
      </c>
      <c r="I282" s="21"/>
      <c r="J282" s="5"/>
      <c r="K282" s="5"/>
    </row>
    <row r="283" spans="1:11" s="4" customFormat="1" ht="15" customHeight="1" x14ac:dyDescent="0.2">
      <c r="A283" s="116"/>
      <c r="B283" s="83">
        <v>30</v>
      </c>
      <c r="C283" s="84">
        <v>0</v>
      </c>
      <c r="D283" s="9" t="s">
        <v>187</v>
      </c>
      <c r="E283" s="22" t="s">
        <v>188</v>
      </c>
      <c r="F283" s="17">
        <v>50000</v>
      </c>
      <c r="G283" s="20">
        <v>6636.1404207313026</v>
      </c>
      <c r="H283" s="17">
        <f>H284+H285+H286</f>
        <v>39142.857675000007</v>
      </c>
      <c r="I283" s="21">
        <f>I284+I285+I286</f>
        <v>5195.1499999999996</v>
      </c>
      <c r="J283" s="3">
        <f>I283</f>
        <v>5195.1499999999996</v>
      </c>
      <c r="K283" s="3">
        <f>J283</f>
        <v>5195.1499999999996</v>
      </c>
    </row>
    <row r="284" spans="1:11" s="4" customFormat="1" ht="15" customHeight="1" x14ac:dyDescent="0.2">
      <c r="A284" s="116">
        <v>42941</v>
      </c>
      <c r="B284" s="83"/>
      <c r="C284" s="84"/>
      <c r="D284" s="23" t="s">
        <v>50</v>
      </c>
      <c r="E284" s="106" t="s">
        <v>120</v>
      </c>
      <c r="F284" s="126"/>
      <c r="G284" s="127"/>
      <c r="H284" s="126">
        <f t="shared" ref="H284:H296" si="8">I284*$H$24</f>
        <v>29007.825000000001</v>
      </c>
      <c r="I284" s="62">
        <f>1400+3950-1500</f>
        <v>3850</v>
      </c>
      <c r="J284" s="5"/>
      <c r="K284" s="65">
        <v>3850</v>
      </c>
    </row>
    <row r="285" spans="1:11" s="4" customFormat="1" ht="15" customHeight="1" x14ac:dyDescent="0.2">
      <c r="A285" s="116">
        <v>42552</v>
      </c>
      <c r="B285" s="83"/>
      <c r="C285" s="84"/>
      <c r="D285" s="23" t="s">
        <v>52</v>
      </c>
      <c r="E285" s="106" t="s">
        <v>189</v>
      </c>
      <c r="F285" s="126"/>
      <c r="G285" s="127"/>
      <c r="H285" s="126">
        <f t="shared" si="8"/>
        <v>1763.0730000000001</v>
      </c>
      <c r="I285" s="62">
        <v>234</v>
      </c>
      <c r="J285" s="5"/>
      <c r="K285" s="65">
        <v>234</v>
      </c>
    </row>
    <row r="286" spans="1:11" s="4" customFormat="1" ht="15" customHeight="1" x14ac:dyDescent="0.2">
      <c r="A286" s="234" t="s">
        <v>96</v>
      </c>
      <c r="B286" s="83"/>
      <c r="C286" s="84"/>
      <c r="D286" s="23" t="s">
        <v>53</v>
      </c>
      <c r="E286" s="106" t="s">
        <v>122</v>
      </c>
      <c r="F286" s="126"/>
      <c r="G286" s="127"/>
      <c r="H286" s="126">
        <f t="shared" si="8"/>
        <v>8371.9596750000019</v>
      </c>
      <c r="I286" s="62">
        <v>1111.1500000000001</v>
      </c>
      <c r="J286" s="5"/>
      <c r="K286" s="65">
        <v>1111.1500000000001</v>
      </c>
    </row>
    <row r="287" spans="1:11" s="4" customFormat="1" ht="15" customHeight="1" x14ac:dyDescent="0.2">
      <c r="A287" s="116"/>
      <c r="B287" s="83"/>
      <c r="C287" s="84"/>
      <c r="D287" s="9"/>
      <c r="E287" s="61"/>
      <c r="F287" s="17"/>
      <c r="G287" s="20"/>
      <c r="H287" s="17">
        <f t="shared" si="8"/>
        <v>0</v>
      </c>
      <c r="I287" s="141"/>
      <c r="J287" s="5"/>
      <c r="K287" s="5"/>
    </row>
    <row r="288" spans="1:11" s="4" customFormat="1" ht="15" customHeight="1" x14ac:dyDescent="0.2">
      <c r="A288" s="116">
        <v>4293</v>
      </c>
      <c r="B288" s="83"/>
      <c r="C288" s="84"/>
      <c r="D288" s="9" t="s">
        <v>190</v>
      </c>
      <c r="E288" s="22" t="s">
        <v>191</v>
      </c>
      <c r="F288" s="17">
        <v>30400</v>
      </c>
      <c r="G288" s="20">
        <v>4034.773375804632</v>
      </c>
      <c r="H288" s="17">
        <f t="shared" si="8"/>
        <v>21322.635000000002</v>
      </c>
      <c r="I288" s="21">
        <v>2830</v>
      </c>
      <c r="J288" s="5">
        <f>I288</f>
        <v>2830</v>
      </c>
      <c r="K288" s="5">
        <f>J288</f>
        <v>2830</v>
      </c>
    </row>
    <row r="289" spans="1:11" s="4" customFormat="1" ht="15" customHeight="1" x14ac:dyDescent="0.2">
      <c r="A289" s="116"/>
      <c r="B289" s="83"/>
      <c r="C289" s="84"/>
      <c r="D289" s="9"/>
      <c r="E289" s="61"/>
      <c r="F289" s="70"/>
      <c r="G289" s="71"/>
      <c r="H289" s="70">
        <f t="shared" si="8"/>
        <v>0</v>
      </c>
      <c r="I289" s="62"/>
      <c r="J289" s="5"/>
      <c r="K289" s="5"/>
    </row>
    <row r="290" spans="1:11" s="4" customFormat="1" ht="15" customHeight="1" x14ac:dyDescent="0.2">
      <c r="A290" s="116"/>
      <c r="B290" s="83"/>
      <c r="C290" s="84"/>
      <c r="D290" s="9"/>
      <c r="E290" s="22"/>
      <c r="F290" s="70"/>
      <c r="G290" s="71"/>
      <c r="H290" s="70">
        <f t="shared" si="8"/>
        <v>0</v>
      </c>
      <c r="I290" s="62"/>
      <c r="J290" s="5"/>
      <c r="K290" s="5"/>
    </row>
    <row r="291" spans="1:11" s="4" customFormat="1" ht="15" customHeight="1" x14ac:dyDescent="0.2">
      <c r="A291" s="116"/>
      <c r="B291" s="83"/>
      <c r="C291" s="84"/>
      <c r="D291" s="9"/>
      <c r="E291" s="22"/>
      <c r="F291" s="17"/>
      <c r="G291" s="20"/>
      <c r="H291" s="17">
        <f t="shared" si="8"/>
        <v>0</v>
      </c>
      <c r="I291" s="21"/>
      <c r="J291" s="5"/>
      <c r="K291" s="5"/>
    </row>
    <row r="292" spans="1:11" s="4" customFormat="1" ht="15" customHeight="1" x14ac:dyDescent="0.2">
      <c r="A292" s="116"/>
      <c r="B292" s="83">
        <v>72</v>
      </c>
      <c r="C292" s="84">
        <v>0</v>
      </c>
      <c r="D292" s="9" t="s">
        <v>192</v>
      </c>
      <c r="E292" s="22" t="s">
        <v>193</v>
      </c>
      <c r="F292" s="17">
        <v>20000</v>
      </c>
      <c r="G292" s="20">
        <v>2654.4561682925209</v>
      </c>
      <c r="H292" s="17">
        <f t="shared" si="8"/>
        <v>35605.033200000005</v>
      </c>
      <c r="I292" s="21">
        <f>I293+I294</f>
        <v>4725.6000000000004</v>
      </c>
      <c r="J292" s="5">
        <f>I292</f>
        <v>4725.6000000000004</v>
      </c>
      <c r="K292" s="5">
        <f>J292</f>
        <v>4725.6000000000004</v>
      </c>
    </row>
    <row r="293" spans="1:11" s="4" customFormat="1" ht="15" customHeight="1" x14ac:dyDescent="0.2">
      <c r="A293" s="116">
        <v>42941</v>
      </c>
      <c r="B293" s="83"/>
      <c r="C293" s="84"/>
      <c r="D293" s="23" t="s">
        <v>50</v>
      </c>
      <c r="E293" s="106" t="s">
        <v>120</v>
      </c>
      <c r="F293" s="126"/>
      <c r="G293" s="127"/>
      <c r="H293" s="126">
        <f t="shared" si="8"/>
        <v>20000.028870000002</v>
      </c>
      <c r="I293" s="62">
        <v>2654.46</v>
      </c>
      <c r="J293" s="5"/>
      <c r="K293" s="5"/>
    </row>
    <row r="294" spans="1:11" s="4" customFormat="1" ht="15" customHeight="1" x14ac:dyDescent="0.2">
      <c r="A294" s="234" t="s">
        <v>96</v>
      </c>
      <c r="B294" s="83"/>
      <c r="C294" s="84"/>
      <c r="D294" s="23" t="s">
        <v>52</v>
      </c>
      <c r="E294" s="106" t="s">
        <v>122</v>
      </c>
      <c r="F294" s="126"/>
      <c r="G294" s="127"/>
      <c r="H294" s="126">
        <f t="shared" si="8"/>
        <v>15605.004330000003</v>
      </c>
      <c r="I294" s="62">
        <f>4725.6-2654.46</f>
        <v>2071.1400000000003</v>
      </c>
      <c r="J294" s="5"/>
      <c r="K294" s="5"/>
    </row>
    <row r="295" spans="1:11" s="4" customFormat="1" ht="15" customHeight="1" x14ac:dyDescent="0.2">
      <c r="A295" s="116"/>
      <c r="B295" s="83"/>
      <c r="C295" s="84"/>
      <c r="D295" s="9"/>
      <c r="E295" s="22"/>
      <c r="F295" s="17"/>
      <c r="G295" s="20"/>
      <c r="H295" s="17">
        <f t="shared" si="8"/>
        <v>0</v>
      </c>
      <c r="I295" s="21"/>
      <c r="J295" s="5"/>
      <c r="K295" s="5"/>
    </row>
    <row r="296" spans="1:11" s="4" customFormat="1" ht="15" customHeight="1" x14ac:dyDescent="0.2">
      <c r="A296" s="116"/>
      <c r="B296" s="83"/>
      <c r="C296" s="84"/>
      <c r="D296" s="9" t="s">
        <v>194</v>
      </c>
      <c r="E296" s="22" t="s">
        <v>195</v>
      </c>
      <c r="F296" s="17">
        <v>0</v>
      </c>
      <c r="G296" s="20">
        <v>0</v>
      </c>
      <c r="H296" s="17">
        <f t="shared" si="8"/>
        <v>0</v>
      </c>
      <c r="I296" s="21"/>
      <c r="J296" s="5">
        <v>0</v>
      </c>
      <c r="K296" s="5">
        <v>0</v>
      </c>
    </row>
    <row r="297" spans="1:11" s="4" customFormat="1" ht="15" customHeight="1" x14ac:dyDescent="0.2">
      <c r="A297" s="233"/>
      <c r="B297" s="152"/>
      <c r="C297" s="152"/>
      <c r="D297" s="9"/>
      <c r="E297" s="22"/>
      <c r="F297" s="17"/>
      <c r="G297" s="20"/>
      <c r="H297" s="17"/>
      <c r="I297" s="21"/>
      <c r="J297" s="5"/>
      <c r="K297" s="5"/>
    </row>
    <row r="298" spans="1:11" s="4" customFormat="1" ht="15" customHeight="1" x14ac:dyDescent="0.35">
      <c r="A298" s="235"/>
      <c r="B298" s="73"/>
      <c r="C298" s="74"/>
      <c r="D298" s="9"/>
      <c r="E298" s="82" t="s">
        <v>196</v>
      </c>
      <c r="F298" s="153">
        <f>F92+F98+F108+F116+F123+F135+F140+F174+F185+F198+F209+F219+F228+F240+F246+F248+F252+F259+F261+F263+F265+F274+F276+F283+F288+F292+F296</f>
        <v>1522671.75</v>
      </c>
      <c r="G298" s="154">
        <f>G92+G98+G108+G116+G123+G135+G140+G174+G185+G198+G209+G219+G228+G240+G246+G248+G252+G259+G261+G263+G265+G274+G276+G283+G288+G292+G296</f>
        <v>202093.27095361342</v>
      </c>
      <c r="H298" s="153">
        <f>I298*$H$24</f>
        <v>1543511.5846600002</v>
      </c>
      <c r="I298" s="155">
        <f>I92+I98+I108+I116+I123+I135+I140+I174+I185+I198+I209+I219+I228+I240+I242+I246+I248+I252+I259+I261+I265+I274+I276+I283+I288+I292+I296</f>
        <v>204859.19233658505</v>
      </c>
      <c r="J298" s="154">
        <f>J92+J98+J108+J116+J123+J135+J140+J174+J185+J198+J209+J219+J228+J240+J242+J246+J248+J252+J259+J261+J265+J274+J276+J283+J288+J292+J296</f>
        <v>254996.92565133728</v>
      </c>
      <c r="K298" s="154">
        <f>K92+K98+K108+K116+K123+K135+K140+K174+K185+K198+K209+K219+K228+K240+K242+K246+K248+K252+K259+K261+K265+K274+K276+K283+K288+K292+K296+K272+K238</f>
        <v>255682.47233658508</v>
      </c>
    </row>
    <row r="299" spans="1:11" s="4" customFormat="1" ht="15" customHeight="1" x14ac:dyDescent="0.35">
      <c r="A299" s="236"/>
      <c r="B299" s="81"/>
      <c r="C299" s="81"/>
      <c r="D299" s="9"/>
      <c r="E299" s="82"/>
      <c r="F299" s="153"/>
      <c r="G299" s="154"/>
      <c r="H299" s="153"/>
      <c r="I299" s="155"/>
      <c r="J299" s="154"/>
      <c r="K299" s="154"/>
    </row>
    <row r="300" spans="1:11" s="4" customFormat="1" ht="15" customHeight="1" x14ac:dyDescent="0.2">
      <c r="A300" s="231"/>
      <c r="B300" s="156"/>
      <c r="C300" s="157"/>
      <c r="D300" s="9"/>
      <c r="E300" s="158" t="s">
        <v>197</v>
      </c>
      <c r="F300" s="70"/>
      <c r="G300" s="159"/>
      <c r="H300" s="70">
        <f t="shared" ref="H300:H308" si="9">I300*$H$24</f>
        <v>0</v>
      </c>
      <c r="I300" s="160"/>
      <c r="J300" s="5"/>
      <c r="K300" s="5"/>
    </row>
    <row r="301" spans="1:11" s="4" customFormat="1" ht="15" customHeight="1" x14ac:dyDescent="0.2">
      <c r="A301" s="116"/>
      <c r="B301" s="83">
        <v>55</v>
      </c>
      <c r="C301" s="84">
        <v>0</v>
      </c>
      <c r="D301" s="9" t="s">
        <v>198</v>
      </c>
      <c r="E301" s="10" t="s">
        <v>199</v>
      </c>
      <c r="F301" s="1">
        <v>28000</v>
      </c>
      <c r="G301" s="94">
        <v>3716.2386356095294</v>
      </c>
      <c r="H301" s="1">
        <f t="shared" si="9"/>
        <v>53904.902145</v>
      </c>
      <c r="I301" s="95">
        <v>7154.41</v>
      </c>
      <c r="J301" s="5">
        <v>7154.41</v>
      </c>
      <c r="K301" s="3">
        <v>7154.41</v>
      </c>
    </row>
    <row r="302" spans="1:11" s="4" customFormat="1" ht="15" customHeight="1" x14ac:dyDescent="0.2">
      <c r="A302" s="116"/>
      <c r="B302" s="83"/>
      <c r="C302" s="84"/>
      <c r="D302" s="9"/>
      <c r="E302" s="247" t="s">
        <v>327</v>
      </c>
      <c r="F302" s="1"/>
      <c r="G302" s="94"/>
      <c r="H302" s="1">
        <f t="shared" si="9"/>
        <v>0</v>
      </c>
      <c r="I302" s="95"/>
      <c r="J302" s="5"/>
      <c r="K302" s="248">
        <v>-743.25</v>
      </c>
    </row>
    <row r="303" spans="1:11" s="4" customFormat="1" ht="15" customHeight="1" x14ac:dyDescent="0.2">
      <c r="A303" s="116">
        <v>46241</v>
      </c>
      <c r="B303" s="83">
        <v>0</v>
      </c>
      <c r="C303" s="84">
        <v>0</v>
      </c>
      <c r="D303" s="9" t="s">
        <v>200</v>
      </c>
      <c r="E303" s="10" t="s">
        <v>201</v>
      </c>
      <c r="F303" s="1">
        <v>80000</v>
      </c>
      <c r="G303" s="94">
        <v>10617.824673170084</v>
      </c>
      <c r="H303" s="1">
        <f t="shared" si="9"/>
        <v>79999.964789999998</v>
      </c>
      <c r="I303" s="95">
        <v>10617.82</v>
      </c>
      <c r="J303" s="5">
        <v>10617.82</v>
      </c>
      <c r="K303" s="3">
        <v>10617.82</v>
      </c>
    </row>
    <row r="304" spans="1:11" s="4" customFormat="1" ht="15" customHeight="1" x14ac:dyDescent="0.2">
      <c r="A304" s="116"/>
      <c r="B304" s="83"/>
      <c r="C304" s="84"/>
      <c r="D304" s="9"/>
      <c r="E304" s="161"/>
      <c r="F304" s="1"/>
      <c r="G304" s="94"/>
      <c r="H304" s="1">
        <f t="shared" si="9"/>
        <v>0</v>
      </c>
      <c r="I304" s="95"/>
      <c r="J304" s="5"/>
      <c r="K304" s="3"/>
    </row>
    <row r="305" spans="1:11" s="4" customFormat="1" ht="15" customHeight="1" x14ac:dyDescent="0.2">
      <c r="A305" s="116">
        <v>42621</v>
      </c>
      <c r="B305" s="83">
        <v>0</v>
      </c>
      <c r="C305" s="84">
        <v>0</v>
      </c>
      <c r="D305" s="9" t="s">
        <v>202</v>
      </c>
      <c r="E305" s="10" t="s">
        <v>203</v>
      </c>
      <c r="F305" s="1">
        <v>45000</v>
      </c>
      <c r="G305" s="94">
        <v>5972.5263786581718</v>
      </c>
      <c r="H305" s="1">
        <f t="shared" si="9"/>
        <v>30406.755615000002</v>
      </c>
      <c r="I305" s="95">
        <f>4035.67</f>
        <v>4035.67</v>
      </c>
      <c r="J305" s="5">
        <v>5972.5263786581718</v>
      </c>
      <c r="K305" s="3">
        <v>5517.39</v>
      </c>
    </row>
    <row r="306" spans="1:11" s="4" customFormat="1" ht="15" customHeight="1" x14ac:dyDescent="0.2">
      <c r="A306" s="116"/>
      <c r="B306" s="83"/>
      <c r="C306" s="84"/>
      <c r="D306" s="9"/>
      <c r="E306" s="161"/>
      <c r="F306" s="1"/>
      <c r="G306" s="94"/>
      <c r="H306" s="1">
        <f t="shared" si="9"/>
        <v>0</v>
      </c>
      <c r="I306" s="95"/>
      <c r="J306" s="5"/>
      <c r="K306" s="3"/>
    </row>
    <row r="307" spans="1:11" s="4" customFormat="1" ht="15" customHeight="1" x14ac:dyDescent="0.2">
      <c r="A307" s="116"/>
      <c r="B307" s="83">
        <v>0</v>
      </c>
      <c r="C307" s="84">
        <v>0</v>
      </c>
      <c r="D307" s="9" t="s">
        <v>204</v>
      </c>
      <c r="E307" s="10" t="s">
        <v>205</v>
      </c>
      <c r="F307" s="1">
        <v>40000</v>
      </c>
      <c r="G307" s="94">
        <v>5308.9123365850419</v>
      </c>
      <c r="H307" s="1">
        <f t="shared" si="9"/>
        <v>11249.987985000002</v>
      </c>
      <c r="I307" s="95">
        <f>I308</f>
        <v>1493.13</v>
      </c>
      <c r="J307" s="3">
        <v>4900</v>
      </c>
      <c r="K307" s="3">
        <f>K308</f>
        <v>2593.13</v>
      </c>
    </row>
    <row r="308" spans="1:11" s="4" customFormat="1" ht="15" customHeight="1" x14ac:dyDescent="0.2">
      <c r="A308" s="116">
        <v>42590</v>
      </c>
      <c r="B308" s="83"/>
      <c r="C308" s="84"/>
      <c r="D308" s="9"/>
      <c r="E308" s="162" t="s">
        <v>206</v>
      </c>
      <c r="F308" s="1"/>
      <c r="G308" s="94"/>
      <c r="H308" s="1">
        <f t="shared" si="9"/>
        <v>11249.987985000002</v>
      </c>
      <c r="I308" s="62">
        <v>1493.13</v>
      </c>
      <c r="J308" s="5"/>
      <c r="K308" s="66">
        <v>2593.13</v>
      </c>
    </row>
    <row r="309" spans="1:11" s="4" customFormat="1" ht="15" customHeight="1" x14ac:dyDescent="0.2">
      <c r="A309" s="116"/>
      <c r="B309" s="83"/>
      <c r="C309" s="84"/>
      <c r="D309" s="9"/>
      <c r="E309" s="162"/>
      <c r="F309" s="1"/>
      <c r="G309" s="94"/>
      <c r="H309" s="1"/>
      <c r="I309" s="62"/>
      <c r="J309" s="5"/>
      <c r="K309" s="60"/>
    </row>
    <row r="310" spans="1:11" s="4" customFormat="1" ht="15" customHeight="1" x14ac:dyDescent="0.2">
      <c r="A310" s="116"/>
      <c r="B310" s="83">
        <v>0</v>
      </c>
      <c r="C310" s="84">
        <v>0</v>
      </c>
      <c r="D310" s="9" t="s">
        <v>207</v>
      </c>
      <c r="E310" s="10" t="s">
        <v>208</v>
      </c>
      <c r="F310" s="1">
        <v>20000</v>
      </c>
      <c r="G310" s="94">
        <v>2654.4561682925209</v>
      </c>
      <c r="H310" s="1">
        <f>I310*$H$24</f>
        <v>17166.604800000001</v>
      </c>
      <c r="I310" s="95">
        <f>I311+I312</f>
        <v>2278.4</v>
      </c>
      <c r="J310" s="5">
        <v>2654.4561682925209</v>
      </c>
      <c r="K310" s="227">
        <f>K311+K312</f>
        <v>3564.96</v>
      </c>
    </row>
    <row r="311" spans="1:11" s="4" customFormat="1" ht="15" customHeight="1" x14ac:dyDescent="0.2">
      <c r="A311" s="116">
        <v>42641</v>
      </c>
      <c r="B311" s="83">
        <v>0</v>
      </c>
      <c r="C311" s="84">
        <v>0</v>
      </c>
      <c r="D311" s="23" t="s">
        <v>50</v>
      </c>
      <c r="E311" s="56" t="s">
        <v>209</v>
      </c>
      <c r="F311" s="1"/>
      <c r="G311" s="94"/>
      <c r="H311" s="1">
        <f>I311*$H$24</f>
        <v>5159.2488750000002</v>
      </c>
      <c r="I311" s="62">
        <v>684.75</v>
      </c>
      <c r="J311" s="5"/>
      <c r="K311" s="66">
        <v>1071.31</v>
      </c>
    </row>
    <row r="312" spans="1:11" s="4" customFormat="1" ht="15" customHeight="1" x14ac:dyDescent="0.2">
      <c r="A312" s="116">
        <v>42613</v>
      </c>
      <c r="B312" s="83">
        <v>0</v>
      </c>
      <c r="C312" s="84">
        <v>0</v>
      </c>
      <c r="D312" s="23" t="s">
        <v>52</v>
      </c>
      <c r="E312" s="162" t="s">
        <v>210</v>
      </c>
      <c r="F312" s="1"/>
      <c r="G312" s="94"/>
      <c r="H312" s="1">
        <f>I312*$H$24</f>
        <v>12007.355925000002</v>
      </c>
      <c r="I312" s="62">
        <v>1593.65</v>
      </c>
      <c r="J312" s="5"/>
      <c r="K312" s="66">
        <v>2493.65</v>
      </c>
    </row>
    <row r="313" spans="1:11" s="4" customFormat="1" ht="15" customHeight="1" x14ac:dyDescent="0.2">
      <c r="A313" s="116"/>
      <c r="B313" s="83"/>
      <c r="C313" s="84"/>
      <c r="D313" s="9"/>
      <c r="E313" s="162"/>
      <c r="F313" s="1"/>
      <c r="G313" s="94"/>
      <c r="H313" s="1"/>
      <c r="I313" s="62"/>
      <c r="J313" s="5"/>
      <c r="K313" s="3"/>
    </row>
    <row r="314" spans="1:11" s="4" customFormat="1" ht="15" customHeight="1" x14ac:dyDescent="0.2">
      <c r="A314" s="116"/>
      <c r="B314" s="83">
        <v>0</v>
      </c>
      <c r="C314" s="84">
        <v>0</v>
      </c>
      <c r="D314" s="9" t="s">
        <v>211</v>
      </c>
      <c r="E314" s="10" t="s">
        <v>212</v>
      </c>
      <c r="F314" s="1">
        <v>8000</v>
      </c>
      <c r="G314" s="94">
        <v>1061.7824673170085</v>
      </c>
      <c r="H314" s="1">
        <f t="shared" ref="H314:H322" si="10">I314*$H$24</f>
        <v>895.09860000000003</v>
      </c>
      <c r="I314" s="95">
        <f>I315</f>
        <v>118.8</v>
      </c>
      <c r="J314" s="5">
        <v>450</v>
      </c>
      <c r="K314" s="3">
        <f>K315</f>
        <v>259.87</v>
      </c>
    </row>
    <row r="315" spans="1:11" s="4" customFormat="1" ht="15" customHeight="1" x14ac:dyDescent="0.2">
      <c r="A315" s="116">
        <v>42614</v>
      </c>
      <c r="B315" s="83">
        <v>0</v>
      </c>
      <c r="C315" s="84">
        <v>0</v>
      </c>
      <c r="D315" s="9"/>
      <c r="E315" s="161"/>
      <c r="F315" s="1"/>
      <c r="G315" s="94"/>
      <c r="H315" s="1">
        <f t="shared" si="10"/>
        <v>895.09860000000003</v>
      </c>
      <c r="I315" s="62">
        <v>118.8</v>
      </c>
      <c r="J315" s="5"/>
      <c r="K315" s="66">
        <v>259.87</v>
      </c>
    </row>
    <row r="316" spans="1:11" s="4" customFormat="1" ht="15" customHeight="1" x14ac:dyDescent="0.2">
      <c r="A316" s="116">
        <v>42610</v>
      </c>
      <c r="B316" s="83">
        <v>0</v>
      </c>
      <c r="C316" s="84">
        <v>0</v>
      </c>
      <c r="D316" s="9" t="s">
        <v>213</v>
      </c>
      <c r="E316" s="10" t="s">
        <v>214</v>
      </c>
      <c r="F316" s="1">
        <v>20000</v>
      </c>
      <c r="G316" s="94">
        <v>2654.4561682925209</v>
      </c>
      <c r="H316" s="1">
        <f t="shared" si="10"/>
        <v>17386.687545000001</v>
      </c>
      <c r="I316" s="95">
        <v>2307.61</v>
      </c>
      <c r="J316" s="5">
        <v>2654.4561682925209</v>
      </c>
      <c r="K316" s="3">
        <v>2389.25</v>
      </c>
    </row>
    <row r="317" spans="1:11" s="4" customFormat="1" ht="15" customHeight="1" x14ac:dyDescent="0.2">
      <c r="A317" s="116"/>
      <c r="B317" s="83">
        <v>0</v>
      </c>
      <c r="C317" s="84">
        <v>0</v>
      </c>
      <c r="D317" s="9"/>
      <c r="E317" s="161"/>
      <c r="F317" s="1"/>
      <c r="G317" s="94"/>
      <c r="H317" s="1">
        <f t="shared" si="10"/>
        <v>0</v>
      </c>
      <c r="I317" s="95"/>
      <c r="J317" s="5"/>
      <c r="K317" s="3"/>
    </row>
    <row r="318" spans="1:11" s="4" customFormat="1" ht="15" customHeight="1" x14ac:dyDescent="0.2">
      <c r="A318" s="116"/>
      <c r="B318" s="83">
        <v>0</v>
      </c>
      <c r="C318" s="84">
        <v>0</v>
      </c>
      <c r="D318" s="9" t="s">
        <v>215</v>
      </c>
      <c r="E318" s="10" t="s">
        <v>216</v>
      </c>
      <c r="F318" s="1">
        <v>8000</v>
      </c>
      <c r="G318" s="94">
        <v>1061.7824673170085</v>
      </c>
      <c r="H318" s="1">
        <f t="shared" si="10"/>
        <v>2474.857215</v>
      </c>
      <c r="I318" s="3">
        <f>I319+I320+I321+I322</f>
        <v>328.46999999999997</v>
      </c>
      <c r="J318" s="5">
        <v>1061.7824673170085</v>
      </c>
      <c r="K318" s="3">
        <f>K319+K320+K321+K322</f>
        <v>502.78</v>
      </c>
    </row>
    <row r="319" spans="1:11" s="4" customFormat="1" ht="15" customHeight="1" x14ac:dyDescent="0.2">
      <c r="A319" s="116">
        <v>42520</v>
      </c>
      <c r="B319" s="83">
        <v>0</v>
      </c>
      <c r="C319" s="84">
        <v>0</v>
      </c>
      <c r="D319" s="23" t="s">
        <v>50</v>
      </c>
      <c r="E319" s="162" t="s">
        <v>217</v>
      </c>
      <c r="F319" s="1"/>
      <c r="G319" s="94"/>
      <c r="H319" s="1">
        <f t="shared" si="10"/>
        <v>739.96324500000003</v>
      </c>
      <c r="I319" s="66">
        <v>98.21</v>
      </c>
      <c r="J319" s="5"/>
      <c r="K319" s="66">
        <v>239.73</v>
      </c>
    </row>
    <row r="320" spans="1:11" s="4" customFormat="1" ht="15" customHeight="1" x14ac:dyDescent="0.2">
      <c r="A320" s="116">
        <v>42580</v>
      </c>
      <c r="B320" s="83">
        <v>0</v>
      </c>
      <c r="C320" s="84">
        <v>0</v>
      </c>
      <c r="D320" s="23" t="s">
        <v>52</v>
      </c>
      <c r="E320" s="162" t="s">
        <v>218</v>
      </c>
      <c r="F320" s="1"/>
      <c r="G320" s="94"/>
      <c r="H320" s="1">
        <f t="shared" si="10"/>
        <v>500.29079999999999</v>
      </c>
      <c r="I320" s="66">
        <f>6.64*10</f>
        <v>66.399999999999991</v>
      </c>
      <c r="J320" s="5"/>
      <c r="K320" s="66">
        <f>6.64*12</f>
        <v>79.679999999999993</v>
      </c>
    </row>
    <row r="321" spans="1:11" ht="15" customHeight="1" x14ac:dyDescent="0.2">
      <c r="A321" s="116">
        <v>42552</v>
      </c>
      <c r="B321" s="83">
        <v>0</v>
      </c>
      <c r="C321" s="84">
        <v>0</v>
      </c>
      <c r="D321" s="23" t="s">
        <v>53</v>
      </c>
      <c r="E321" s="162" t="s">
        <v>219</v>
      </c>
      <c r="F321" s="1"/>
      <c r="G321" s="94"/>
      <c r="H321" s="1">
        <f t="shared" si="10"/>
        <v>818.322045</v>
      </c>
      <c r="I321" s="66">
        <v>108.61</v>
      </c>
      <c r="J321" s="5"/>
      <c r="K321" s="65">
        <v>128.12</v>
      </c>
    </row>
    <row r="322" spans="1:11" ht="15" customHeight="1" x14ac:dyDescent="0.2">
      <c r="A322" s="116">
        <v>42592</v>
      </c>
      <c r="B322" s="83">
        <v>0</v>
      </c>
      <c r="C322" s="84">
        <v>0</v>
      </c>
      <c r="D322" s="23" t="s">
        <v>55</v>
      </c>
      <c r="E322" s="162" t="s">
        <v>220</v>
      </c>
      <c r="F322" s="1"/>
      <c r="G322" s="94"/>
      <c r="H322" s="1">
        <f t="shared" si="10"/>
        <v>416.28112500000003</v>
      </c>
      <c r="I322" s="66">
        <v>55.25</v>
      </c>
      <c r="J322" s="5"/>
      <c r="K322" s="65">
        <v>55.25</v>
      </c>
    </row>
    <row r="323" spans="1:11" ht="15" customHeight="1" x14ac:dyDescent="0.2">
      <c r="A323" s="116"/>
      <c r="B323" s="83"/>
      <c r="C323" s="84"/>
      <c r="D323" s="9"/>
      <c r="E323" s="162"/>
      <c r="F323" s="1"/>
      <c r="G323" s="94"/>
      <c r="H323" s="1"/>
      <c r="I323" s="66"/>
      <c r="J323" s="5"/>
      <c r="K323" s="5"/>
    </row>
    <row r="324" spans="1:11" s="4" customFormat="1" ht="15" customHeight="1" x14ac:dyDescent="0.2">
      <c r="A324" s="116"/>
      <c r="B324" s="83">
        <v>0</v>
      </c>
      <c r="C324" s="84">
        <v>0</v>
      </c>
      <c r="D324" s="9" t="s">
        <v>221</v>
      </c>
      <c r="E324" s="10" t="s">
        <v>222</v>
      </c>
      <c r="F324" s="1">
        <v>37000</v>
      </c>
      <c r="G324" s="94">
        <v>4910.7439113411638</v>
      </c>
      <c r="H324" s="1">
        <f t="shared" ref="H324:H334" si="11">I324*$H$24</f>
        <v>26667.307920000003</v>
      </c>
      <c r="I324" s="95">
        <v>3539.36</v>
      </c>
      <c r="J324" s="94">
        <v>4910.7439113411638</v>
      </c>
      <c r="K324" s="95">
        <v>4678.2</v>
      </c>
    </row>
    <row r="325" spans="1:11" s="4" customFormat="1" ht="15" customHeight="1" x14ac:dyDescent="0.2">
      <c r="A325" s="116"/>
      <c r="B325" s="83">
        <v>0</v>
      </c>
      <c r="C325" s="84">
        <v>0</v>
      </c>
      <c r="D325" s="9"/>
      <c r="E325" s="161"/>
      <c r="F325" s="1"/>
      <c r="G325" s="94"/>
      <c r="H325" s="1">
        <f t="shared" si="11"/>
        <v>0</v>
      </c>
      <c r="I325" s="95"/>
      <c r="J325" s="94"/>
      <c r="K325" s="95"/>
    </row>
    <row r="326" spans="1:11" s="4" customFormat="1" ht="15" customHeight="1" x14ac:dyDescent="0.2">
      <c r="A326" s="116">
        <v>4292</v>
      </c>
      <c r="B326" s="83">
        <v>0</v>
      </c>
      <c r="C326" s="84">
        <v>0</v>
      </c>
      <c r="D326" s="9" t="s">
        <v>223</v>
      </c>
      <c r="E326" s="10" t="s">
        <v>224</v>
      </c>
      <c r="F326" s="1">
        <v>20000</v>
      </c>
      <c r="G326" s="94">
        <v>2654.4561682925209</v>
      </c>
      <c r="H326" s="1">
        <f t="shared" si="11"/>
        <v>8261.2778699999999</v>
      </c>
      <c r="I326" s="95">
        <v>1096.46</v>
      </c>
      <c r="J326" s="94">
        <v>2654.4561682925209</v>
      </c>
      <c r="K326" s="229">
        <f>K327+K328</f>
        <v>2751.93</v>
      </c>
    </row>
    <row r="327" spans="1:11" s="4" customFormat="1" ht="15" customHeight="1" x14ac:dyDescent="0.2">
      <c r="A327" s="116"/>
      <c r="B327" s="83"/>
      <c r="C327" s="84"/>
      <c r="D327" s="9"/>
      <c r="E327" s="56" t="s">
        <v>224</v>
      </c>
      <c r="F327" s="163"/>
      <c r="G327" s="164"/>
      <c r="H327" s="163"/>
      <c r="I327" s="165"/>
      <c r="J327" s="164"/>
      <c r="K327" s="230">
        <f>2751.93-K328</f>
        <v>2133.14</v>
      </c>
    </row>
    <row r="328" spans="1:11" s="4" customFormat="1" ht="15" customHeight="1" x14ac:dyDescent="0.2">
      <c r="A328" s="116"/>
      <c r="B328" s="83"/>
      <c r="C328" s="84"/>
      <c r="D328" s="9"/>
      <c r="E328" s="56" t="s">
        <v>225</v>
      </c>
      <c r="F328" s="163"/>
      <c r="G328" s="164"/>
      <c r="H328" s="163"/>
      <c r="I328" s="165"/>
      <c r="J328" s="164"/>
      <c r="K328" s="230">
        <v>618.79</v>
      </c>
    </row>
    <row r="329" spans="1:11" s="4" customFormat="1" ht="15" customHeight="1" x14ac:dyDescent="0.2">
      <c r="A329" s="116"/>
      <c r="B329" s="83">
        <v>0</v>
      </c>
      <c r="C329" s="84">
        <v>0</v>
      </c>
      <c r="D329" s="9"/>
      <c r="E329" s="161"/>
      <c r="F329" s="1"/>
      <c r="G329" s="94"/>
      <c r="H329" s="1">
        <f t="shared" si="11"/>
        <v>0</v>
      </c>
      <c r="I329" s="95"/>
      <c r="J329" s="94"/>
      <c r="K329" s="95"/>
    </row>
    <row r="330" spans="1:11" s="4" customFormat="1" ht="15" customHeight="1" x14ac:dyDescent="0.2">
      <c r="A330" s="116">
        <v>4431</v>
      </c>
      <c r="B330" s="83">
        <v>0</v>
      </c>
      <c r="C330" s="84">
        <v>0</v>
      </c>
      <c r="D330" s="9" t="s">
        <v>226</v>
      </c>
      <c r="E330" s="10" t="s">
        <v>227</v>
      </c>
      <c r="F330" s="1">
        <v>10000</v>
      </c>
      <c r="G330" s="94">
        <v>1327.2280841462605</v>
      </c>
      <c r="H330" s="1">
        <f t="shared" si="11"/>
        <v>5818.065555000001</v>
      </c>
      <c r="I330" s="95">
        <v>772.19</v>
      </c>
      <c r="J330" s="94">
        <v>1327.2280841462605</v>
      </c>
      <c r="K330" s="95">
        <v>953.33</v>
      </c>
    </row>
    <row r="331" spans="1:11" s="4" customFormat="1" ht="15" customHeight="1" x14ac:dyDescent="0.2">
      <c r="A331" s="116"/>
      <c r="B331" s="83">
        <v>0</v>
      </c>
      <c r="C331" s="84">
        <v>0</v>
      </c>
      <c r="D331" s="9"/>
      <c r="E331" s="161"/>
      <c r="F331" s="1"/>
      <c r="G331" s="94"/>
      <c r="H331" s="1">
        <f t="shared" si="11"/>
        <v>0</v>
      </c>
      <c r="I331" s="95"/>
      <c r="J331" s="94"/>
      <c r="K331" s="95"/>
    </row>
    <row r="332" spans="1:11" s="4" customFormat="1" ht="15" customHeight="1" x14ac:dyDescent="0.2">
      <c r="A332" s="116"/>
      <c r="B332" s="83">
        <v>0</v>
      </c>
      <c r="C332" s="84">
        <v>0</v>
      </c>
      <c r="D332" s="9" t="s">
        <v>228</v>
      </c>
      <c r="E332" s="10" t="s">
        <v>229</v>
      </c>
      <c r="F332" s="1">
        <v>38000</v>
      </c>
      <c r="G332" s="94">
        <v>5043.4667197557901</v>
      </c>
      <c r="H332" s="1">
        <f t="shared" si="11"/>
        <v>13101.968084999999</v>
      </c>
      <c r="I332" s="95">
        <f>I333+I334</f>
        <v>1738.9299999999998</v>
      </c>
      <c r="J332" s="94">
        <v>5043.4667197557901</v>
      </c>
      <c r="K332" s="95">
        <f>K333+K334</f>
        <v>2942.8</v>
      </c>
    </row>
    <row r="333" spans="1:11" s="4" customFormat="1" ht="15" customHeight="1" x14ac:dyDescent="0.2">
      <c r="A333" s="116">
        <v>42573</v>
      </c>
      <c r="B333" s="83">
        <v>0</v>
      </c>
      <c r="C333" s="84">
        <v>0</v>
      </c>
      <c r="D333" s="23" t="s">
        <v>50</v>
      </c>
      <c r="E333" s="56" t="s">
        <v>229</v>
      </c>
      <c r="F333" s="1"/>
      <c r="G333" s="94"/>
      <c r="H333" s="1">
        <f t="shared" si="11"/>
        <v>3504.6726749999998</v>
      </c>
      <c r="I333" s="62">
        <v>465.15</v>
      </c>
      <c r="J333" s="94"/>
      <c r="K333" s="62">
        <v>1451.63</v>
      </c>
    </row>
    <row r="334" spans="1:11" s="4" customFormat="1" ht="15" customHeight="1" x14ac:dyDescent="0.2">
      <c r="A334" s="116">
        <v>42590</v>
      </c>
      <c r="B334" s="83">
        <v>0</v>
      </c>
      <c r="C334" s="84">
        <v>0</v>
      </c>
      <c r="D334" s="23" t="s">
        <v>52</v>
      </c>
      <c r="E334" s="162" t="s">
        <v>230</v>
      </c>
      <c r="F334" s="1"/>
      <c r="G334" s="94"/>
      <c r="H334" s="1">
        <f t="shared" si="11"/>
        <v>9597.2954100000006</v>
      </c>
      <c r="I334" s="62">
        <f>1448.78-175</f>
        <v>1273.78</v>
      </c>
      <c r="J334" s="94"/>
      <c r="K334" s="62">
        <f>1666.17-175</f>
        <v>1491.17</v>
      </c>
    </row>
    <row r="335" spans="1:11" s="4" customFormat="1" ht="15" customHeight="1" x14ac:dyDescent="0.2">
      <c r="A335" s="116"/>
      <c r="B335" s="83"/>
      <c r="C335" s="84"/>
      <c r="D335" s="9"/>
      <c r="E335" s="162"/>
      <c r="F335" s="1"/>
      <c r="G335" s="94"/>
      <c r="H335" s="1"/>
      <c r="I335" s="62"/>
      <c r="J335" s="94"/>
      <c r="K335" s="62"/>
    </row>
    <row r="336" spans="1:11" s="4" customFormat="1" ht="15" customHeight="1" x14ac:dyDescent="0.2">
      <c r="A336" s="116"/>
      <c r="B336" s="83">
        <v>0</v>
      </c>
      <c r="C336" s="84">
        <v>0</v>
      </c>
      <c r="D336" s="9" t="s">
        <v>231</v>
      </c>
      <c r="E336" s="10" t="s">
        <v>232</v>
      </c>
      <c r="F336" s="1">
        <v>10000</v>
      </c>
      <c r="G336" s="94">
        <v>1327.2280841462605</v>
      </c>
      <c r="H336" s="1">
        <f t="shared" ref="H336:H344" si="12">I336*$H$24</f>
        <v>0</v>
      </c>
      <c r="I336" s="95"/>
      <c r="J336" s="94">
        <v>0</v>
      </c>
      <c r="K336" s="95">
        <v>0</v>
      </c>
    </row>
    <row r="337" spans="1:11" s="4" customFormat="1" ht="15" customHeight="1" x14ac:dyDescent="0.2">
      <c r="A337" s="116"/>
      <c r="B337" s="83">
        <v>0</v>
      </c>
      <c r="C337" s="84">
        <v>0</v>
      </c>
      <c r="D337" s="9"/>
      <c r="E337" s="10"/>
      <c r="F337" s="1"/>
      <c r="G337" s="94"/>
      <c r="H337" s="1">
        <f t="shared" si="12"/>
        <v>0</v>
      </c>
      <c r="I337" s="95"/>
      <c r="J337" s="94"/>
      <c r="K337" s="95"/>
    </row>
    <row r="338" spans="1:11" s="4" customFormat="1" ht="15" customHeight="1" x14ac:dyDescent="0.2">
      <c r="A338" s="116"/>
      <c r="B338" s="83">
        <v>0</v>
      </c>
      <c r="C338" s="84">
        <v>0</v>
      </c>
      <c r="D338" s="9" t="s">
        <v>233</v>
      </c>
      <c r="E338" s="10" t="s">
        <v>234</v>
      </c>
      <c r="F338" s="1">
        <v>10000</v>
      </c>
      <c r="G338" s="94">
        <v>1327.2280841462605</v>
      </c>
      <c r="H338" s="1">
        <f t="shared" si="12"/>
        <v>1318.5375000000001</v>
      </c>
      <c r="I338" s="95">
        <f>I339</f>
        <v>175</v>
      </c>
      <c r="J338" s="95">
        <v>900</v>
      </c>
      <c r="K338" s="95">
        <f>K339</f>
        <v>175</v>
      </c>
    </row>
    <row r="339" spans="1:11" s="4" customFormat="1" ht="15" customHeight="1" x14ac:dyDescent="0.2">
      <c r="A339" s="116">
        <v>42590</v>
      </c>
      <c r="B339" s="83">
        <v>0</v>
      </c>
      <c r="C339" s="84">
        <v>0</v>
      </c>
      <c r="D339" s="9"/>
      <c r="E339" s="56" t="s">
        <v>235</v>
      </c>
      <c r="F339" s="1"/>
      <c r="G339" s="94"/>
      <c r="H339" s="1">
        <f t="shared" si="12"/>
        <v>1318.5375000000001</v>
      </c>
      <c r="I339" s="165">
        <v>175</v>
      </c>
      <c r="J339" s="94"/>
      <c r="K339" s="62">
        <v>175</v>
      </c>
    </row>
    <row r="340" spans="1:11" s="4" customFormat="1" ht="15" customHeight="1" x14ac:dyDescent="0.2">
      <c r="A340" s="116"/>
      <c r="B340" s="83">
        <v>0</v>
      </c>
      <c r="C340" s="84">
        <v>0</v>
      </c>
      <c r="D340" s="9" t="s">
        <v>236</v>
      </c>
      <c r="E340" s="10" t="s">
        <v>237</v>
      </c>
      <c r="F340" s="1">
        <v>15000</v>
      </c>
      <c r="G340" s="94">
        <v>1990.8421262193906</v>
      </c>
      <c r="H340" s="1">
        <f t="shared" si="12"/>
        <v>0</v>
      </c>
      <c r="I340" s="95"/>
      <c r="J340" s="94">
        <v>1990.8421262193906</v>
      </c>
      <c r="K340" s="95"/>
    </row>
    <row r="341" spans="1:11" s="4" customFormat="1" ht="15" customHeight="1" x14ac:dyDescent="0.2">
      <c r="A341" s="116">
        <v>43110</v>
      </c>
      <c r="B341" s="83">
        <v>0</v>
      </c>
      <c r="C341" s="84">
        <v>0</v>
      </c>
      <c r="D341" s="9"/>
      <c r="E341" s="224" t="s">
        <v>238</v>
      </c>
      <c r="F341" s="228"/>
      <c r="G341" s="229"/>
      <c r="H341" s="228">
        <f t="shared" si="12"/>
        <v>0</v>
      </c>
      <c r="I341" s="229"/>
      <c r="J341" s="227"/>
      <c r="K341" s="227">
        <v>3478.73</v>
      </c>
    </row>
    <row r="342" spans="1:11" s="4" customFormat="1" ht="15" customHeight="1" x14ac:dyDescent="0.2">
      <c r="A342" s="116"/>
      <c r="B342" s="83"/>
      <c r="C342" s="84"/>
      <c r="D342" s="9"/>
      <c r="E342" s="56"/>
      <c r="F342" s="1"/>
      <c r="G342" s="94"/>
      <c r="H342" s="1"/>
      <c r="I342" s="95"/>
      <c r="J342" s="5"/>
      <c r="K342" s="3"/>
    </row>
    <row r="343" spans="1:11" s="4" customFormat="1" ht="15" customHeight="1" x14ac:dyDescent="0.2">
      <c r="A343" s="116"/>
      <c r="B343" s="83">
        <v>0</v>
      </c>
      <c r="C343" s="84">
        <v>0</v>
      </c>
      <c r="D343" s="166" t="s">
        <v>239</v>
      </c>
      <c r="E343" s="167" t="s">
        <v>240</v>
      </c>
      <c r="F343" s="1">
        <v>0</v>
      </c>
      <c r="G343" s="94">
        <v>0</v>
      </c>
      <c r="H343" s="1">
        <f t="shared" si="12"/>
        <v>7999.9814100000003</v>
      </c>
      <c r="I343" s="95">
        <f>I344</f>
        <v>1061.78</v>
      </c>
      <c r="J343" s="95">
        <v>1061.78</v>
      </c>
      <c r="K343" s="95">
        <v>1061.78</v>
      </c>
    </row>
    <row r="344" spans="1:11" s="4" customFormat="1" ht="15" customHeight="1" x14ac:dyDescent="0.2">
      <c r="A344" s="116">
        <v>46201</v>
      </c>
      <c r="B344" s="83">
        <v>0</v>
      </c>
      <c r="C344" s="84">
        <v>0</v>
      </c>
      <c r="D344" s="9"/>
      <c r="E344" s="56" t="s">
        <v>241</v>
      </c>
      <c r="F344" s="1"/>
      <c r="G344" s="94"/>
      <c r="H344" s="1">
        <f t="shared" si="12"/>
        <v>7999.9814100000003</v>
      </c>
      <c r="I344" s="62">
        <v>1061.78</v>
      </c>
      <c r="J344" s="5"/>
      <c r="K344" s="3"/>
    </row>
    <row r="345" spans="1:11" s="4" customFormat="1" ht="15" customHeight="1" x14ac:dyDescent="0.2">
      <c r="A345" s="116"/>
      <c r="B345" s="83"/>
      <c r="C345" s="84"/>
      <c r="D345" s="9"/>
      <c r="E345" s="56"/>
      <c r="F345" s="1"/>
      <c r="G345" s="94"/>
      <c r="H345" s="1"/>
      <c r="I345" s="62"/>
      <c r="J345" s="5"/>
      <c r="K345" s="3"/>
    </row>
    <row r="346" spans="1:11" s="4" customFormat="1" ht="15" customHeight="1" x14ac:dyDescent="0.2">
      <c r="A346" s="116"/>
      <c r="B346" s="83">
        <v>0</v>
      </c>
      <c r="C346" s="84">
        <v>0</v>
      </c>
      <c r="D346" s="9" t="s">
        <v>242</v>
      </c>
      <c r="E346" s="10" t="s">
        <v>243</v>
      </c>
      <c r="F346" s="1">
        <v>10000</v>
      </c>
      <c r="G346" s="94">
        <v>1327.2280841462605</v>
      </c>
      <c r="H346" s="1">
        <f t="shared" ref="H346:H351" si="13">I346*$H$24</f>
        <v>0</v>
      </c>
      <c r="I346" s="95"/>
      <c r="J346" s="5"/>
      <c r="K346" s="3"/>
    </row>
    <row r="347" spans="1:11" s="4" customFormat="1" ht="15" customHeight="1" x14ac:dyDescent="0.2">
      <c r="A347" s="116"/>
      <c r="B347" s="83">
        <v>0</v>
      </c>
      <c r="C347" s="84">
        <v>0</v>
      </c>
      <c r="D347" s="9"/>
      <c r="E347" s="168"/>
      <c r="F347" s="1"/>
      <c r="G347" s="94"/>
      <c r="H347" s="1">
        <f t="shared" si="13"/>
        <v>0</v>
      </c>
      <c r="I347" s="95"/>
      <c r="J347" s="5"/>
      <c r="K347" s="3"/>
    </row>
    <row r="348" spans="1:11" s="4" customFormat="1" ht="15" customHeight="1" x14ac:dyDescent="0.2">
      <c r="A348" s="116"/>
      <c r="B348" s="83">
        <v>0</v>
      </c>
      <c r="C348" s="84">
        <v>0</v>
      </c>
      <c r="D348" s="9" t="s">
        <v>244</v>
      </c>
      <c r="E348" s="169" t="s">
        <v>245</v>
      </c>
      <c r="F348" s="1">
        <v>54177</v>
      </c>
      <c r="G348" s="94">
        <v>7190.5235914791956</v>
      </c>
      <c r="H348" s="1">
        <f t="shared" si="13"/>
        <v>56087.270069999999</v>
      </c>
      <c r="I348" s="95">
        <f>I349+I350+I351</f>
        <v>7444.0599999999995</v>
      </c>
      <c r="J348" s="95">
        <f>7444.06+930</f>
        <v>8374.0600000000013</v>
      </c>
      <c r="K348" s="229">
        <f>K349+K350+K351+K352</f>
        <v>8674.41</v>
      </c>
    </row>
    <row r="349" spans="1:11" s="4" customFormat="1" ht="15" customHeight="1" x14ac:dyDescent="0.2">
      <c r="A349" s="116">
        <v>42580</v>
      </c>
      <c r="B349" s="83">
        <v>0</v>
      </c>
      <c r="C349" s="84">
        <v>0</v>
      </c>
      <c r="D349" s="23" t="s">
        <v>50</v>
      </c>
      <c r="E349" s="170" t="s">
        <v>246</v>
      </c>
      <c r="F349" s="163">
        <v>13677</v>
      </c>
      <c r="G349" s="164">
        <v>1815.2498506868405</v>
      </c>
      <c r="H349" s="163">
        <f t="shared" si="13"/>
        <v>23123.832570000002</v>
      </c>
      <c r="I349" s="62">
        <f>-6.64*10+3135.46</f>
        <v>3069.06</v>
      </c>
      <c r="J349" s="5"/>
      <c r="K349" s="66">
        <f>4078.09-K320</f>
        <v>3998.4100000000003</v>
      </c>
    </row>
    <row r="350" spans="1:11" s="4" customFormat="1" ht="15" customHeight="1" x14ac:dyDescent="0.2">
      <c r="A350" s="116"/>
      <c r="B350" s="83">
        <v>0</v>
      </c>
      <c r="C350" s="84">
        <v>0</v>
      </c>
      <c r="D350" s="23" t="s">
        <v>52</v>
      </c>
      <c r="E350" s="170" t="s">
        <v>247</v>
      </c>
      <c r="F350" s="163">
        <v>29000</v>
      </c>
      <c r="G350" s="164">
        <v>3848.9614440241553</v>
      </c>
      <c r="H350" s="163">
        <f t="shared" si="13"/>
        <v>0</v>
      </c>
      <c r="I350" s="62"/>
      <c r="J350" s="5"/>
      <c r="K350" s="171"/>
    </row>
    <row r="351" spans="1:11" s="4" customFormat="1" ht="15" customHeight="1" x14ac:dyDescent="0.2">
      <c r="A351" s="116">
        <v>42596</v>
      </c>
      <c r="B351" s="83">
        <v>0</v>
      </c>
      <c r="C351" s="84">
        <v>0</v>
      </c>
      <c r="D351" s="23" t="s">
        <v>53</v>
      </c>
      <c r="E351" s="56" t="s">
        <v>248</v>
      </c>
      <c r="F351" s="1"/>
      <c r="G351" s="94"/>
      <c r="H351" s="1">
        <f t="shared" si="13"/>
        <v>32963.4375</v>
      </c>
      <c r="I351" s="62">
        <v>4375</v>
      </c>
      <c r="J351" s="5"/>
      <c r="K351" s="66">
        <v>4375</v>
      </c>
    </row>
    <row r="352" spans="1:11" s="4" customFormat="1" ht="15" customHeight="1" x14ac:dyDescent="0.2">
      <c r="A352" s="116">
        <v>42596</v>
      </c>
      <c r="B352" s="83">
        <v>0</v>
      </c>
      <c r="C352" s="84">
        <v>0</v>
      </c>
      <c r="D352" s="23" t="s">
        <v>55</v>
      </c>
      <c r="E352" s="56" t="s">
        <v>249</v>
      </c>
      <c r="F352" s="1"/>
      <c r="G352" s="94"/>
      <c r="H352" s="1"/>
      <c r="I352" s="62"/>
      <c r="J352" s="5"/>
      <c r="K352" s="66">
        <v>301</v>
      </c>
    </row>
    <row r="353" spans="1:11" s="4" customFormat="1" ht="15" customHeight="1" x14ac:dyDescent="0.2">
      <c r="A353" s="116"/>
      <c r="B353" s="83"/>
      <c r="C353" s="84"/>
      <c r="D353" s="9"/>
      <c r="E353" s="56"/>
      <c r="F353" s="1"/>
      <c r="G353" s="94"/>
      <c r="H353" s="1"/>
      <c r="I353" s="62"/>
      <c r="J353" s="5"/>
      <c r="K353" s="66"/>
    </row>
    <row r="354" spans="1:11" ht="15" customHeight="1" x14ac:dyDescent="0.2">
      <c r="A354" s="116"/>
      <c r="B354" s="83">
        <v>0</v>
      </c>
      <c r="C354" s="84">
        <v>0</v>
      </c>
      <c r="D354" s="9" t="s">
        <v>250</v>
      </c>
      <c r="E354" s="10" t="s">
        <v>251</v>
      </c>
      <c r="F354" s="1">
        <v>1500</v>
      </c>
      <c r="G354" s="94">
        <v>199.08421262193906</v>
      </c>
      <c r="H354" s="1">
        <f>I354*$H$24</f>
        <v>0</v>
      </c>
      <c r="I354" s="95"/>
      <c r="J354" s="3">
        <v>0</v>
      </c>
      <c r="K354" s="3">
        <v>0</v>
      </c>
    </row>
    <row r="355" spans="1:11" ht="15" customHeight="1" x14ac:dyDescent="0.2">
      <c r="A355" s="116"/>
      <c r="B355" s="83">
        <v>0</v>
      </c>
      <c r="C355" s="84">
        <v>0</v>
      </c>
      <c r="D355" s="9"/>
      <c r="E355" s="172"/>
      <c r="F355" s="1"/>
      <c r="G355" s="94"/>
      <c r="H355" s="1">
        <f>I355*$H$24</f>
        <v>0</v>
      </c>
      <c r="I355" s="95"/>
      <c r="J355" s="5"/>
      <c r="K355" s="3"/>
    </row>
    <row r="356" spans="1:11" ht="15" customHeight="1" x14ac:dyDescent="0.2">
      <c r="A356" s="116"/>
      <c r="B356" s="83">
        <v>0</v>
      </c>
      <c r="C356" s="84">
        <v>0</v>
      </c>
      <c r="D356" s="9" t="s">
        <v>252</v>
      </c>
      <c r="E356" s="10" t="s">
        <v>253</v>
      </c>
      <c r="F356" s="1">
        <v>4500</v>
      </c>
      <c r="G356" s="94">
        <v>597.25263786581718</v>
      </c>
      <c r="H356" s="1">
        <f>I356*$H$24</f>
        <v>1552.55907</v>
      </c>
      <c r="I356" s="95">
        <f>I357+I358</f>
        <v>206.06</v>
      </c>
      <c r="J356" s="95">
        <v>206.06</v>
      </c>
      <c r="K356" s="229">
        <v>250</v>
      </c>
    </row>
    <row r="357" spans="1:11" ht="15" customHeight="1" x14ac:dyDescent="0.2">
      <c r="A357" s="116">
        <v>42641</v>
      </c>
      <c r="B357" s="83">
        <v>0</v>
      </c>
      <c r="C357" s="84">
        <v>0</v>
      </c>
      <c r="D357" s="23" t="s">
        <v>50</v>
      </c>
      <c r="E357" s="162" t="s">
        <v>254</v>
      </c>
      <c r="F357" s="1"/>
      <c r="G357" s="94"/>
      <c r="H357" s="1">
        <f>I357*$H$24</f>
        <v>1251.1790700000001</v>
      </c>
      <c r="I357" s="66">
        <v>166.06</v>
      </c>
      <c r="J357" s="5"/>
      <c r="K357" s="171"/>
    </row>
    <row r="358" spans="1:11" ht="15" customHeight="1" x14ac:dyDescent="0.2">
      <c r="A358" s="116">
        <v>46240</v>
      </c>
      <c r="B358" s="83">
        <v>0</v>
      </c>
      <c r="C358" s="84">
        <v>0</v>
      </c>
      <c r="D358" s="23" t="s">
        <v>52</v>
      </c>
      <c r="E358" s="162" t="s">
        <v>255</v>
      </c>
      <c r="F358" s="1"/>
      <c r="G358" s="94"/>
      <c r="H358" s="1">
        <f>I358*$H$24</f>
        <v>301.38</v>
      </c>
      <c r="I358" s="66">
        <v>40</v>
      </c>
      <c r="J358" s="5"/>
      <c r="K358" s="171"/>
    </row>
    <row r="359" spans="1:11" ht="15" customHeight="1" x14ac:dyDescent="0.2">
      <c r="A359" s="116"/>
      <c r="B359" s="83"/>
      <c r="C359" s="84"/>
      <c r="D359" s="23"/>
      <c r="E359" s="162"/>
      <c r="F359" s="1"/>
      <c r="G359" s="94"/>
      <c r="H359" s="1"/>
      <c r="I359" s="66"/>
      <c r="J359" s="5"/>
      <c r="K359" s="3"/>
    </row>
    <row r="360" spans="1:11" ht="15" customHeight="1" x14ac:dyDescent="0.2">
      <c r="A360" s="116"/>
      <c r="B360" s="83">
        <v>0</v>
      </c>
      <c r="C360" s="84">
        <v>0</v>
      </c>
      <c r="D360" s="9" t="s">
        <v>256</v>
      </c>
      <c r="E360" s="10" t="s">
        <v>257</v>
      </c>
      <c r="F360" s="1">
        <v>10000</v>
      </c>
      <c r="G360" s="94">
        <v>1327.2280841462605</v>
      </c>
      <c r="H360" s="1">
        <f>I360*$H$24</f>
        <v>5274.1500000000005</v>
      </c>
      <c r="I360" s="95">
        <f>I361</f>
        <v>700</v>
      </c>
      <c r="J360" s="3">
        <v>1327.23</v>
      </c>
      <c r="K360" s="227">
        <f>K361+K362</f>
        <v>2030</v>
      </c>
    </row>
    <row r="361" spans="1:11" ht="15" customHeight="1" x14ac:dyDescent="0.2">
      <c r="A361" s="116">
        <v>4511</v>
      </c>
      <c r="B361" s="83">
        <v>0</v>
      </c>
      <c r="C361" s="84">
        <v>0</v>
      </c>
      <c r="D361" s="23" t="s">
        <v>50</v>
      </c>
      <c r="E361" s="224" t="s">
        <v>258</v>
      </c>
      <c r="F361" s="228"/>
      <c r="G361" s="229"/>
      <c r="H361" s="228">
        <f>I361*$H$24</f>
        <v>5274.1500000000005</v>
      </c>
      <c r="I361" s="230">
        <v>700</v>
      </c>
      <c r="J361" s="227"/>
      <c r="K361" s="243">
        <v>700</v>
      </c>
    </row>
    <row r="362" spans="1:11" ht="15" customHeight="1" x14ac:dyDescent="0.2">
      <c r="A362" s="116"/>
      <c r="B362" s="83"/>
      <c r="C362" s="84"/>
      <c r="D362" s="23" t="s">
        <v>52</v>
      </c>
      <c r="E362" s="173" t="s">
        <v>259</v>
      </c>
      <c r="F362" s="1"/>
      <c r="G362" s="94"/>
      <c r="H362" s="1"/>
      <c r="I362" s="62"/>
      <c r="J362" s="5"/>
      <c r="K362" s="66">
        <v>1330</v>
      </c>
    </row>
    <row r="363" spans="1:11" ht="15" customHeight="1" x14ac:dyDescent="0.2">
      <c r="A363" s="116"/>
      <c r="B363" s="83"/>
      <c r="C363" s="84"/>
      <c r="D363" s="9"/>
      <c r="E363" s="173"/>
      <c r="F363" s="1"/>
      <c r="G363" s="94"/>
      <c r="H363" s="1"/>
      <c r="I363" s="62"/>
      <c r="J363" s="5"/>
      <c r="K363" s="60"/>
    </row>
    <row r="364" spans="1:11" ht="15" customHeight="1" x14ac:dyDescent="0.2">
      <c r="A364" s="116">
        <v>42574</v>
      </c>
      <c r="B364" s="83">
        <v>0</v>
      </c>
      <c r="C364" s="84">
        <v>0</v>
      </c>
      <c r="D364" s="9" t="s">
        <v>260</v>
      </c>
      <c r="E364" s="10" t="s">
        <v>261</v>
      </c>
      <c r="F364" s="1">
        <v>5000</v>
      </c>
      <c r="G364" s="94">
        <v>663.61404207313024</v>
      </c>
      <c r="H364" s="1">
        <f t="shared" ref="H364:H377" si="14">I364*$H$24</f>
        <v>216.99360000000001</v>
      </c>
      <c r="I364" s="95">
        <v>28.8</v>
      </c>
      <c r="J364" s="3">
        <v>28.8</v>
      </c>
      <c r="K364" s="3">
        <v>28.8</v>
      </c>
    </row>
    <row r="365" spans="1:11" ht="15" customHeight="1" x14ac:dyDescent="0.2">
      <c r="A365" s="116"/>
      <c r="B365" s="83">
        <v>0</v>
      </c>
      <c r="C365" s="84">
        <v>0</v>
      </c>
      <c r="D365" s="9"/>
      <c r="E365" s="10"/>
      <c r="F365" s="1"/>
      <c r="G365" s="94"/>
      <c r="H365" s="1">
        <f t="shared" si="14"/>
        <v>0</v>
      </c>
      <c r="I365" s="95"/>
      <c r="J365" s="5"/>
      <c r="K365" s="3"/>
    </row>
    <row r="366" spans="1:11" ht="15" customHeight="1" x14ac:dyDescent="0.2">
      <c r="A366" s="116"/>
      <c r="B366" s="83">
        <v>0</v>
      </c>
      <c r="C366" s="84">
        <v>0</v>
      </c>
      <c r="D366" s="9" t="s">
        <v>262</v>
      </c>
      <c r="E366" s="10" t="s">
        <v>263</v>
      </c>
      <c r="F366" s="1">
        <v>120000</v>
      </c>
      <c r="G366" s="94">
        <v>15926.737009755125</v>
      </c>
      <c r="H366" s="1">
        <f t="shared" si="14"/>
        <v>0</v>
      </c>
      <c r="I366" s="95">
        <v>0</v>
      </c>
      <c r="J366" s="5">
        <v>0</v>
      </c>
      <c r="K366" s="171">
        <v>0</v>
      </c>
    </row>
    <row r="367" spans="1:11" ht="15" customHeight="1" x14ac:dyDescent="0.2">
      <c r="A367" s="116"/>
      <c r="B367" s="83">
        <v>0</v>
      </c>
      <c r="C367" s="84">
        <v>0</v>
      </c>
      <c r="D367" s="9"/>
      <c r="E367" s="56" t="s">
        <v>264</v>
      </c>
      <c r="F367" s="1"/>
      <c r="G367" s="94"/>
      <c r="H367" s="1">
        <f t="shared" si="14"/>
        <v>0</v>
      </c>
      <c r="I367" s="95"/>
      <c r="J367" s="5"/>
      <c r="K367" s="3"/>
    </row>
    <row r="368" spans="1:11" ht="15" customHeight="1" x14ac:dyDescent="0.2">
      <c r="A368" s="116"/>
      <c r="B368" s="83">
        <v>0</v>
      </c>
      <c r="C368" s="84">
        <v>0</v>
      </c>
      <c r="D368" s="9"/>
      <c r="E368" s="10"/>
      <c r="F368" s="1"/>
      <c r="G368" s="94"/>
      <c r="H368" s="1">
        <f t="shared" si="14"/>
        <v>0</v>
      </c>
      <c r="I368" s="95"/>
      <c r="J368" s="5"/>
      <c r="K368" s="3"/>
    </row>
    <row r="369" spans="1:11" ht="15" customHeight="1" x14ac:dyDescent="0.2">
      <c r="A369" s="116"/>
      <c r="B369" s="83">
        <v>0</v>
      </c>
      <c r="C369" s="84">
        <v>0</v>
      </c>
      <c r="D369" s="9" t="s">
        <v>265</v>
      </c>
      <c r="E369" s="10" t="s">
        <v>266</v>
      </c>
      <c r="F369" s="1">
        <v>0</v>
      </c>
      <c r="G369" s="94">
        <v>0</v>
      </c>
      <c r="H369" s="1">
        <f t="shared" si="14"/>
        <v>0</v>
      </c>
      <c r="I369" s="95"/>
      <c r="J369" s="5">
        <v>0</v>
      </c>
      <c r="K369" s="3">
        <v>0</v>
      </c>
    </row>
    <row r="370" spans="1:11" ht="15" customHeight="1" x14ac:dyDescent="0.2">
      <c r="A370" s="116"/>
      <c r="B370" s="83">
        <v>0</v>
      </c>
      <c r="C370" s="84">
        <v>0</v>
      </c>
      <c r="D370" s="166"/>
      <c r="E370" s="174"/>
      <c r="F370" s="1"/>
      <c r="G370" s="5"/>
      <c r="H370" s="1">
        <f t="shared" si="14"/>
        <v>0</v>
      </c>
      <c r="I370" s="3"/>
      <c r="J370" s="5"/>
      <c r="K370" s="3"/>
    </row>
    <row r="371" spans="1:11" ht="15" customHeight="1" x14ac:dyDescent="0.2">
      <c r="A371" s="116">
        <v>42530</v>
      </c>
      <c r="B371" s="83">
        <v>0</v>
      </c>
      <c r="C371" s="84">
        <v>0</v>
      </c>
      <c r="D371" s="9" t="s">
        <v>267</v>
      </c>
      <c r="E371" s="10" t="s">
        <v>268</v>
      </c>
      <c r="F371" s="1">
        <v>15000</v>
      </c>
      <c r="G371" s="5">
        <v>1990.8421262193906</v>
      </c>
      <c r="H371" s="1">
        <f t="shared" si="14"/>
        <v>8860.5720000000001</v>
      </c>
      <c r="I371" s="3">
        <v>1176</v>
      </c>
      <c r="J371" s="5">
        <v>1990.8421262193906</v>
      </c>
      <c r="K371" s="227">
        <v>2146.54</v>
      </c>
    </row>
    <row r="372" spans="1:11" ht="15" customHeight="1" x14ac:dyDescent="0.2">
      <c r="A372" s="116"/>
      <c r="B372" s="83">
        <v>0</v>
      </c>
      <c r="C372" s="84">
        <v>0</v>
      </c>
      <c r="D372" s="9"/>
      <c r="E372" s="10"/>
      <c r="F372" s="1"/>
      <c r="G372" s="5"/>
      <c r="H372" s="1">
        <f t="shared" si="14"/>
        <v>0</v>
      </c>
      <c r="I372" s="3"/>
      <c r="J372" s="5"/>
      <c r="K372" s="3"/>
    </row>
    <row r="373" spans="1:11" ht="15" customHeight="1" x14ac:dyDescent="0.2">
      <c r="A373" s="116"/>
      <c r="B373" s="83">
        <v>0</v>
      </c>
      <c r="C373" s="84">
        <v>0</v>
      </c>
      <c r="D373" s="9" t="s">
        <v>269</v>
      </c>
      <c r="E373" s="10" t="s">
        <v>270</v>
      </c>
      <c r="F373" s="1">
        <v>15000</v>
      </c>
      <c r="G373" s="5">
        <v>1990.8421262193906</v>
      </c>
      <c r="H373" s="1">
        <f t="shared" si="14"/>
        <v>0</v>
      </c>
      <c r="I373" s="3"/>
      <c r="J373" s="5">
        <v>0</v>
      </c>
      <c r="K373" s="3">
        <v>0</v>
      </c>
    </row>
    <row r="374" spans="1:11" ht="15" customHeight="1" x14ac:dyDescent="0.2">
      <c r="A374" s="116"/>
      <c r="B374" s="83">
        <v>0</v>
      </c>
      <c r="C374" s="84">
        <v>0</v>
      </c>
      <c r="D374" s="9"/>
      <c r="E374" s="10"/>
      <c r="F374" s="1"/>
      <c r="G374" s="5"/>
      <c r="H374" s="1">
        <f t="shared" si="14"/>
        <v>0</v>
      </c>
      <c r="I374" s="3"/>
      <c r="J374" s="5"/>
      <c r="K374" s="3"/>
    </row>
    <row r="375" spans="1:11" ht="15" customHeight="1" x14ac:dyDescent="0.2">
      <c r="A375" s="116"/>
      <c r="B375" s="83">
        <v>0</v>
      </c>
      <c r="C375" s="84">
        <v>0</v>
      </c>
      <c r="D375" s="9" t="s">
        <v>271</v>
      </c>
      <c r="E375" s="10" t="s">
        <v>272</v>
      </c>
      <c r="F375" s="1">
        <v>70000</v>
      </c>
      <c r="G375" s="5">
        <v>9290.596589023824</v>
      </c>
      <c r="H375" s="1">
        <f t="shared" si="14"/>
        <v>63506.416875000003</v>
      </c>
      <c r="I375" s="3">
        <f>I376+I377</f>
        <v>8428.75</v>
      </c>
      <c r="J375" s="5">
        <v>9290.596589023824</v>
      </c>
      <c r="K375" s="227">
        <f>K376+K377</f>
        <v>11081.02</v>
      </c>
    </row>
    <row r="376" spans="1:11" ht="15" customHeight="1" x14ac:dyDescent="0.2">
      <c r="A376" s="116">
        <v>4252</v>
      </c>
      <c r="B376" s="83">
        <v>0</v>
      </c>
      <c r="C376" s="84">
        <v>0</v>
      </c>
      <c r="D376" s="23" t="s">
        <v>50</v>
      </c>
      <c r="E376" s="56" t="s">
        <v>273</v>
      </c>
      <c r="F376" s="163">
        <v>63000</v>
      </c>
      <c r="G376" s="63">
        <v>8361.5369301214414</v>
      </c>
      <c r="H376" s="163">
        <f t="shared" si="14"/>
        <v>46997.423235000002</v>
      </c>
      <c r="I376" s="66">
        <v>6237.63</v>
      </c>
      <c r="J376" s="5"/>
      <c r="K376" s="66">
        <v>8316.84</v>
      </c>
    </row>
    <row r="377" spans="1:11" ht="15" customHeight="1" x14ac:dyDescent="0.2">
      <c r="A377" s="116">
        <v>42542</v>
      </c>
      <c r="B377" s="83">
        <v>0</v>
      </c>
      <c r="C377" s="84">
        <v>0</v>
      </c>
      <c r="D377" s="23" t="s">
        <v>52</v>
      </c>
      <c r="E377" s="173" t="s">
        <v>274</v>
      </c>
      <c r="F377" s="163">
        <v>7000</v>
      </c>
      <c r="G377" s="63">
        <v>929.05965890238235</v>
      </c>
      <c r="H377" s="163">
        <f t="shared" si="14"/>
        <v>16508.993640000001</v>
      </c>
      <c r="I377" s="66">
        <v>2191.12</v>
      </c>
      <c r="J377" s="5"/>
      <c r="K377" s="66">
        <v>2764.18</v>
      </c>
    </row>
    <row r="378" spans="1:11" ht="15" customHeight="1" x14ac:dyDescent="0.2">
      <c r="A378" s="116"/>
      <c r="B378" s="83"/>
      <c r="C378" s="84"/>
      <c r="D378" s="166"/>
      <c r="E378" s="173"/>
      <c r="F378" s="163"/>
      <c r="G378" s="63"/>
      <c r="H378" s="163"/>
      <c r="I378" s="66"/>
      <c r="J378" s="5"/>
      <c r="K378" s="60"/>
    </row>
    <row r="379" spans="1:11" ht="15" customHeight="1" x14ac:dyDescent="0.2">
      <c r="A379" s="116"/>
      <c r="B379" s="83">
        <v>0</v>
      </c>
      <c r="C379" s="84">
        <v>0</v>
      </c>
      <c r="D379" s="166"/>
      <c r="E379" s="175" t="s">
        <v>275</v>
      </c>
      <c r="F379" s="1"/>
      <c r="G379" s="5"/>
      <c r="H379" s="1">
        <f t="shared" ref="H379:H386" si="15">I379*$H$24</f>
        <v>0</v>
      </c>
      <c r="I379" s="3"/>
      <c r="J379" s="5"/>
      <c r="K379" s="3"/>
    </row>
    <row r="380" spans="1:11" ht="15" customHeight="1" x14ac:dyDescent="0.2">
      <c r="A380" s="116"/>
      <c r="B380" s="83">
        <v>0</v>
      </c>
      <c r="C380" s="84">
        <v>0</v>
      </c>
      <c r="D380" s="9" t="s">
        <v>276</v>
      </c>
      <c r="E380" s="10" t="s">
        <v>277</v>
      </c>
      <c r="F380" s="1">
        <f>F381+F382</f>
        <v>70885.08</v>
      </c>
      <c r="G380" s="5">
        <v>9408.066892295441</v>
      </c>
      <c r="H380" s="1">
        <f t="shared" si="15"/>
        <v>40542.315705000001</v>
      </c>
      <c r="I380" s="3">
        <f>I381+I382</f>
        <v>5380.8899999999994</v>
      </c>
      <c r="J380" s="5">
        <v>9408.066892295441</v>
      </c>
      <c r="K380" s="3">
        <f>K381+K382</f>
        <v>9408</v>
      </c>
    </row>
    <row r="381" spans="1:11" ht="15" customHeight="1" x14ac:dyDescent="0.2">
      <c r="A381" s="116">
        <v>42550</v>
      </c>
      <c r="B381" s="83">
        <v>0</v>
      </c>
      <c r="C381" s="84">
        <v>0</v>
      </c>
      <c r="D381" s="23" t="s">
        <v>50</v>
      </c>
      <c r="E381" s="56" t="s">
        <v>278</v>
      </c>
      <c r="F381" s="163">
        <v>20400</v>
      </c>
      <c r="G381" s="63">
        <v>2707.5452916583713</v>
      </c>
      <c r="H381" s="163">
        <f t="shared" si="15"/>
        <v>15300.083115000001</v>
      </c>
      <c r="I381" s="66">
        <v>2030.67</v>
      </c>
      <c r="J381" s="5"/>
      <c r="K381" s="66">
        <v>2707.56</v>
      </c>
    </row>
    <row r="382" spans="1:11" ht="15" customHeight="1" x14ac:dyDescent="0.2">
      <c r="A382" s="116">
        <v>42550</v>
      </c>
      <c r="B382" s="83">
        <v>0</v>
      </c>
      <c r="C382" s="84">
        <v>0</v>
      </c>
      <c r="D382" s="23" t="s">
        <v>52</v>
      </c>
      <c r="E382" s="56" t="s">
        <v>279</v>
      </c>
      <c r="F382" s="163">
        <v>50485.08</v>
      </c>
      <c r="G382" s="63">
        <v>6700.5216006370692</v>
      </c>
      <c r="H382" s="163">
        <f t="shared" si="15"/>
        <v>25242.23259</v>
      </c>
      <c r="I382" s="66">
        <v>3350.22</v>
      </c>
      <c r="J382" s="5"/>
      <c r="K382" s="66">
        <v>6700.44</v>
      </c>
    </row>
    <row r="383" spans="1:11" ht="15" customHeight="1" x14ac:dyDescent="0.2">
      <c r="A383" s="116"/>
      <c r="B383" s="83">
        <v>0</v>
      </c>
      <c r="C383" s="84">
        <v>0</v>
      </c>
      <c r="D383" s="9"/>
      <c r="E383" s="10"/>
      <c r="F383" s="1"/>
      <c r="G383" s="5"/>
      <c r="H383" s="1">
        <f t="shared" si="15"/>
        <v>0</v>
      </c>
      <c r="I383" s="3"/>
      <c r="J383" s="5"/>
      <c r="K383" s="3"/>
    </row>
    <row r="384" spans="1:11" ht="15" customHeight="1" x14ac:dyDescent="0.2">
      <c r="A384" s="116"/>
      <c r="B384" s="83">
        <v>0</v>
      </c>
      <c r="C384" s="84">
        <v>0</v>
      </c>
      <c r="D384" s="166" t="s">
        <v>280</v>
      </c>
      <c r="E384" s="167" t="s">
        <v>281</v>
      </c>
      <c r="F384" s="176">
        <v>0</v>
      </c>
      <c r="G384" s="3">
        <v>0</v>
      </c>
      <c r="H384" s="176">
        <f t="shared" si="15"/>
        <v>0</v>
      </c>
      <c r="I384" s="3"/>
      <c r="J384" s="5">
        <v>0</v>
      </c>
      <c r="K384" s="3">
        <v>0</v>
      </c>
    </row>
    <row r="385" spans="1:11" ht="15" customHeight="1" x14ac:dyDescent="0.2">
      <c r="A385" s="116"/>
      <c r="B385" s="83">
        <v>0</v>
      </c>
      <c r="C385" s="84">
        <v>0</v>
      </c>
      <c r="D385" s="9"/>
      <c r="E385" s="158"/>
      <c r="F385" s="1"/>
      <c r="G385" s="5"/>
      <c r="H385" s="1">
        <f t="shared" si="15"/>
        <v>0</v>
      </c>
      <c r="I385" s="3"/>
      <c r="J385" s="5"/>
      <c r="K385" s="3"/>
    </row>
    <row r="386" spans="1:11" ht="15" customHeight="1" x14ac:dyDescent="0.2">
      <c r="A386" s="116"/>
      <c r="B386" s="83">
        <v>0</v>
      </c>
      <c r="C386" s="84">
        <v>0</v>
      </c>
      <c r="D386" s="9" t="s">
        <v>282</v>
      </c>
      <c r="E386" s="10" t="s">
        <v>283</v>
      </c>
      <c r="F386" s="1">
        <v>0</v>
      </c>
      <c r="G386" s="5">
        <v>0</v>
      </c>
      <c r="H386" s="1">
        <f t="shared" si="15"/>
        <v>6027.6</v>
      </c>
      <c r="I386" s="3">
        <v>800</v>
      </c>
      <c r="J386" s="3">
        <v>8000</v>
      </c>
      <c r="K386" s="3">
        <f>K387+K389</f>
        <v>5000</v>
      </c>
    </row>
    <row r="387" spans="1:11" ht="15" customHeight="1" x14ac:dyDescent="0.2">
      <c r="A387" s="116">
        <v>42596</v>
      </c>
      <c r="B387" s="83"/>
      <c r="C387" s="84"/>
      <c r="D387" s="23" t="s">
        <v>50</v>
      </c>
      <c r="E387" s="56" t="s">
        <v>284</v>
      </c>
      <c r="F387" s="1"/>
      <c r="G387" s="5"/>
      <c r="H387" s="1"/>
      <c r="I387" s="3"/>
      <c r="J387" s="3"/>
      <c r="K387" s="66">
        <v>4000</v>
      </c>
    </row>
    <row r="388" spans="1:11" ht="15" customHeight="1" x14ac:dyDescent="0.2">
      <c r="A388" s="116"/>
      <c r="B388" s="83"/>
      <c r="C388" s="84"/>
      <c r="D388" s="23"/>
      <c r="E388" s="56" t="s">
        <v>285</v>
      </c>
      <c r="F388" s="1"/>
      <c r="G388" s="5"/>
      <c r="H388" s="1"/>
      <c r="I388" s="3"/>
      <c r="J388" s="3"/>
      <c r="K388" s="60"/>
    </row>
    <row r="389" spans="1:11" ht="15" customHeight="1" x14ac:dyDescent="0.2">
      <c r="A389" s="116">
        <v>42574</v>
      </c>
      <c r="B389" s="83"/>
      <c r="C389" s="84"/>
      <c r="D389" s="23" t="s">
        <v>52</v>
      </c>
      <c r="E389" s="56" t="s">
        <v>283</v>
      </c>
      <c r="F389" s="1"/>
      <c r="G389" s="5"/>
      <c r="H389" s="1"/>
      <c r="I389" s="3"/>
      <c r="J389" s="3"/>
      <c r="K389" s="66">
        <v>1000</v>
      </c>
    </row>
    <row r="390" spans="1:11" ht="15" customHeight="1" x14ac:dyDescent="0.2">
      <c r="A390" s="116"/>
      <c r="B390" s="83">
        <v>0</v>
      </c>
      <c r="C390" s="84">
        <v>0</v>
      </c>
      <c r="D390" s="9"/>
      <c r="E390" s="10"/>
      <c r="F390" s="1"/>
      <c r="G390" s="5"/>
      <c r="H390" s="1">
        <f t="shared" ref="H390:H397" si="16">I390*$H$24</f>
        <v>0</v>
      </c>
      <c r="I390" s="3"/>
      <c r="J390" s="5"/>
      <c r="K390" s="3"/>
    </row>
    <row r="391" spans="1:11" ht="15" customHeight="1" x14ac:dyDescent="0.2">
      <c r="A391" s="116"/>
      <c r="B391" s="83">
        <v>0</v>
      </c>
      <c r="C391" s="84">
        <v>0</v>
      </c>
      <c r="D391" s="9" t="s">
        <v>286</v>
      </c>
      <c r="E391" s="10" t="s">
        <v>287</v>
      </c>
      <c r="F391" s="1">
        <v>10000</v>
      </c>
      <c r="G391" s="5">
        <v>1327.2280841462605</v>
      </c>
      <c r="H391" s="1">
        <f t="shared" si="16"/>
        <v>3000.0118650000004</v>
      </c>
      <c r="I391" s="3">
        <f>I392+I393</f>
        <v>398.17</v>
      </c>
      <c r="J391" s="5">
        <f>G391</f>
        <v>1327.2280841462605</v>
      </c>
      <c r="K391" s="3">
        <f>K392+K393</f>
        <v>398.17</v>
      </c>
    </row>
    <row r="392" spans="1:11" ht="15" customHeight="1" x14ac:dyDescent="0.2">
      <c r="A392" s="116">
        <v>42574</v>
      </c>
      <c r="B392" s="83">
        <v>0</v>
      </c>
      <c r="C392" s="84">
        <v>0</v>
      </c>
      <c r="D392" s="326"/>
      <c r="E392" s="56" t="s">
        <v>288</v>
      </c>
      <c r="F392" s="1"/>
      <c r="G392" s="5"/>
      <c r="H392" s="1">
        <f t="shared" si="16"/>
        <v>3000.0118650000004</v>
      </c>
      <c r="I392" s="66">
        <v>398.17</v>
      </c>
      <c r="J392" s="5"/>
      <c r="K392" s="66">
        <v>398.17</v>
      </c>
    </row>
    <row r="393" spans="1:11" ht="15" customHeight="1" x14ac:dyDescent="0.2">
      <c r="A393" s="116"/>
      <c r="B393" s="83">
        <v>0</v>
      </c>
      <c r="C393" s="84">
        <v>0</v>
      </c>
      <c r="D393" s="326"/>
      <c r="E393" s="56"/>
      <c r="F393" s="1"/>
      <c r="G393" s="5"/>
      <c r="H393" s="1">
        <f t="shared" si="16"/>
        <v>0</v>
      </c>
      <c r="I393" s="60"/>
      <c r="J393" s="5"/>
      <c r="K393" s="5"/>
    </row>
    <row r="394" spans="1:11" ht="15" customHeight="1" x14ac:dyDescent="0.35">
      <c r="A394" s="235"/>
      <c r="B394" s="73"/>
      <c r="C394" s="74"/>
      <c r="D394" s="9"/>
      <c r="E394" s="82" t="s">
        <v>289</v>
      </c>
      <c r="F394" s="177">
        <f>F301+F303+F305+F307+F310+F314+F316+F318+F324+F326+F330+F332+F336+F338+F340+F343+F346+F348+F354+F356+F360+F364+F369+F371+F373+F375+F380+F386+F391</f>
        <v>655062.07999999996</v>
      </c>
      <c r="G394" s="178">
        <v>86941.678943526436</v>
      </c>
      <c r="H394" s="177">
        <f t="shared" si="16"/>
        <v>461719.88621999999</v>
      </c>
      <c r="I394" s="179">
        <f>I391+I386+I384+I380+I375+I373+I371+I369+I366+I364+I360+I356+I354+I348+I346+I343+I340+I338+I336+I332+I330+I326+I324+I318+I316+I314+I310+I307+I305+I303+I301</f>
        <v>61280.759999999995</v>
      </c>
      <c r="J394" s="154">
        <f>J391+J386+J384+J380+J375+J373+J371+J369+J366+J364+J360+J356+J354+J348+J346+J343+J340+J338+J336+J332+J330+J326+J324+J318+J316+J314+J310+J307+J305+J303+J301</f>
        <v>93306.851884000265</v>
      </c>
      <c r="K394" s="154">
        <f>K391+K386+K380+K375+K371+K364+K360+K356+K348+K343+K341+K338+K332+K330+K326+K324+K318+K316+K314+K310+K307+K305+K303+K302+K301</f>
        <v>86915.07</v>
      </c>
    </row>
    <row r="395" spans="1:11" ht="15" customHeight="1" x14ac:dyDescent="0.2">
      <c r="A395" s="237"/>
      <c r="B395" s="180"/>
      <c r="C395" s="181"/>
      <c r="D395" s="9"/>
      <c r="E395" s="10"/>
      <c r="F395" s="11"/>
      <c r="G395" s="12"/>
      <c r="H395" s="11">
        <f t="shared" si="16"/>
        <v>0</v>
      </c>
      <c r="I395" s="13"/>
      <c r="J395" s="5"/>
      <c r="K395" s="5"/>
    </row>
    <row r="396" spans="1:11" ht="15" customHeight="1" x14ac:dyDescent="0.2">
      <c r="A396" s="231"/>
      <c r="B396" s="156"/>
      <c r="C396" s="157"/>
      <c r="D396" s="9"/>
      <c r="E396" s="10" t="s">
        <v>290</v>
      </c>
      <c r="F396" s="11"/>
      <c r="G396" s="12"/>
      <c r="H396" s="11">
        <f t="shared" si="16"/>
        <v>0</v>
      </c>
      <c r="I396" s="13"/>
      <c r="J396" s="5"/>
      <c r="K396" s="5"/>
    </row>
    <row r="397" spans="1:11" ht="15" customHeight="1" x14ac:dyDescent="0.2">
      <c r="A397" s="116">
        <v>412</v>
      </c>
      <c r="B397" s="83"/>
      <c r="C397" s="84"/>
      <c r="D397" s="9" t="s">
        <v>291</v>
      </c>
      <c r="E397" s="10" t="s">
        <v>292</v>
      </c>
      <c r="F397" s="17">
        <v>536500</v>
      </c>
      <c r="G397" s="18">
        <v>71205.786714446876</v>
      </c>
      <c r="H397" s="17">
        <f t="shared" si="16"/>
        <v>401984.41125</v>
      </c>
      <c r="I397" s="19">
        <f>36862.48+16490.02</f>
        <v>53352.5</v>
      </c>
      <c r="J397" s="18">
        <f>1716+71205.7867144469</f>
        <v>72921.786714446906</v>
      </c>
      <c r="K397" s="19">
        <v>72896.350000000006</v>
      </c>
    </row>
    <row r="398" spans="1:11" ht="15" customHeight="1" x14ac:dyDescent="0.2">
      <c r="A398" s="116"/>
      <c r="B398" s="83"/>
      <c r="C398" s="84"/>
      <c r="D398" s="9"/>
      <c r="E398" s="10"/>
      <c r="F398" s="17"/>
      <c r="G398" s="18"/>
      <c r="H398" s="17"/>
      <c r="I398" s="19"/>
      <c r="J398" s="18"/>
      <c r="K398" s="19"/>
    </row>
    <row r="399" spans="1:11" ht="15" customHeight="1" x14ac:dyDescent="0.2">
      <c r="A399" s="116"/>
      <c r="B399" s="83"/>
      <c r="C399" s="84"/>
      <c r="D399" s="9" t="s">
        <v>293</v>
      </c>
      <c r="E399" s="10" t="s">
        <v>294</v>
      </c>
      <c r="F399" s="17">
        <v>59700</v>
      </c>
      <c r="G399" s="18">
        <v>7923.5516623531748</v>
      </c>
      <c r="H399" s="17">
        <f>I399*$H$24</f>
        <v>45042.898590000004</v>
      </c>
      <c r="I399" s="19">
        <v>5978.22</v>
      </c>
      <c r="J399" s="18">
        <v>7923.5516623531748</v>
      </c>
      <c r="K399" s="19">
        <f>K402+K405+K404+K403+K400+K401</f>
        <v>9374.1043831707484</v>
      </c>
    </row>
    <row r="400" spans="1:11" ht="15" customHeight="1" x14ac:dyDescent="0.2">
      <c r="A400" s="116">
        <v>41210</v>
      </c>
      <c r="B400" s="83"/>
      <c r="C400" s="84"/>
      <c r="D400" s="23" t="s">
        <v>50</v>
      </c>
      <c r="E400" s="56" t="s">
        <v>322</v>
      </c>
      <c r="F400" s="17"/>
      <c r="G400" s="18"/>
      <c r="H400" s="17"/>
      <c r="I400" s="19"/>
      <c r="J400" s="18"/>
      <c r="K400" s="66">
        <v>2986.26</v>
      </c>
    </row>
    <row r="401" spans="1:11" ht="15" customHeight="1" x14ac:dyDescent="0.2">
      <c r="A401" s="116">
        <v>412121</v>
      </c>
      <c r="B401" s="83"/>
      <c r="C401" s="84"/>
      <c r="D401" s="23" t="s">
        <v>52</v>
      </c>
      <c r="E401" s="56" t="s">
        <v>323</v>
      </c>
      <c r="F401" s="17"/>
      <c r="G401" s="18"/>
      <c r="H401" s="17"/>
      <c r="I401" s="19"/>
      <c r="J401" s="18"/>
      <c r="K401" s="66">
        <v>2389.29</v>
      </c>
    </row>
    <row r="402" spans="1:11" ht="15" customHeight="1" x14ac:dyDescent="0.2">
      <c r="A402" s="116">
        <v>41213</v>
      </c>
      <c r="B402" s="83"/>
      <c r="C402" s="84"/>
      <c r="D402" s="23" t="s">
        <v>53</v>
      </c>
      <c r="E402" s="56" t="s">
        <v>324</v>
      </c>
      <c r="F402" s="17"/>
      <c r="G402" s="18"/>
      <c r="H402" s="17"/>
      <c r="I402" s="19"/>
      <c r="J402" s="18"/>
      <c r="K402" s="66">
        <f>2256.3-2000/7.5345</f>
        <v>1990.854383170748</v>
      </c>
    </row>
    <row r="403" spans="1:11" ht="15" customHeight="1" x14ac:dyDescent="0.2">
      <c r="A403" s="116">
        <v>41212</v>
      </c>
      <c r="B403" s="83"/>
      <c r="C403" s="84"/>
      <c r="D403" s="23" t="s">
        <v>55</v>
      </c>
      <c r="E403" s="224" t="s">
        <v>321</v>
      </c>
      <c r="F403" s="225"/>
      <c r="G403" s="226"/>
      <c r="H403" s="225"/>
      <c r="I403" s="226"/>
      <c r="J403" s="226"/>
      <c r="K403" s="243">
        <f>265.46</f>
        <v>265.45999999999998</v>
      </c>
    </row>
    <row r="404" spans="1:11" ht="15" customHeight="1" x14ac:dyDescent="0.2">
      <c r="A404" s="116">
        <v>412120</v>
      </c>
      <c r="B404" s="83"/>
      <c r="C404" s="84"/>
      <c r="D404" s="23" t="s">
        <v>57</v>
      </c>
      <c r="E404" s="224" t="s">
        <v>295</v>
      </c>
      <c r="F404" s="225"/>
      <c r="G404" s="226"/>
      <c r="H404" s="225"/>
      <c r="I404" s="226"/>
      <c r="J404" s="226"/>
      <c r="K404" s="243">
        <v>1327.24</v>
      </c>
    </row>
    <row r="405" spans="1:11" ht="15" customHeight="1" x14ac:dyDescent="0.2">
      <c r="A405" s="116">
        <v>41213</v>
      </c>
      <c r="B405" s="83"/>
      <c r="C405" s="84"/>
      <c r="D405" s="23" t="s">
        <v>126</v>
      </c>
      <c r="E405" s="56" t="s">
        <v>325</v>
      </c>
      <c r="F405" s="17"/>
      <c r="G405" s="18"/>
      <c r="H405" s="17"/>
      <c r="I405" s="19"/>
      <c r="J405" s="18"/>
      <c r="K405" s="66">
        <v>415</v>
      </c>
    </row>
    <row r="406" spans="1:11" ht="15" customHeight="1" x14ac:dyDescent="0.2">
      <c r="A406" s="116"/>
      <c r="B406" s="83"/>
      <c r="C406" s="84"/>
      <c r="D406" s="9"/>
      <c r="E406" s="56"/>
      <c r="F406" s="17"/>
      <c r="G406" s="18"/>
      <c r="H406" s="17"/>
      <c r="I406" s="19"/>
      <c r="J406" s="18"/>
      <c r="K406" s="64"/>
    </row>
    <row r="407" spans="1:11" ht="15" customHeight="1" x14ac:dyDescent="0.2">
      <c r="A407" s="116">
        <v>41310</v>
      </c>
      <c r="B407" s="83"/>
      <c r="C407" s="84"/>
      <c r="D407" s="9" t="s">
        <v>296</v>
      </c>
      <c r="E407" s="10" t="s">
        <v>297</v>
      </c>
      <c r="F407" s="17">
        <v>89000</v>
      </c>
      <c r="G407" s="18">
        <v>11812.329948901717</v>
      </c>
      <c r="H407" s="17">
        <f>I407*$H$24</f>
        <v>66327.258329999997</v>
      </c>
      <c r="I407" s="19">
        <v>8803.14</v>
      </c>
      <c r="J407" s="18">
        <f>G407+284</f>
        <v>12096.329948901717</v>
      </c>
      <c r="K407" s="18">
        <f>12027.89</f>
        <v>12027.89</v>
      </c>
    </row>
    <row r="408" spans="1:11" ht="15" customHeight="1" x14ac:dyDescent="0.2">
      <c r="A408" s="116"/>
      <c r="B408" s="83"/>
      <c r="C408" s="84"/>
      <c r="D408" s="9"/>
      <c r="E408" s="10"/>
      <c r="F408" s="17"/>
      <c r="G408" s="18"/>
      <c r="H408" s="17"/>
      <c r="I408" s="19"/>
      <c r="J408" s="18"/>
      <c r="K408" s="18"/>
    </row>
    <row r="409" spans="1:11" ht="15" customHeight="1" x14ac:dyDescent="0.2">
      <c r="A409" s="116"/>
      <c r="B409" s="83"/>
      <c r="C409" s="84"/>
      <c r="D409" s="9" t="s">
        <v>298</v>
      </c>
      <c r="E409" s="10" t="s">
        <v>299</v>
      </c>
      <c r="F409" s="17">
        <v>18240</v>
      </c>
      <c r="G409" s="18">
        <v>2420.8640254827792</v>
      </c>
      <c r="H409" s="17">
        <f>I409*$H$24</f>
        <v>12275.282745</v>
      </c>
      <c r="I409" s="19">
        <f>I410+I411</f>
        <v>1629.21</v>
      </c>
      <c r="J409" s="18">
        <v>2420.8640254827792</v>
      </c>
      <c r="K409" s="18">
        <f>K410+K411</f>
        <v>2168.4299999999998</v>
      </c>
    </row>
    <row r="410" spans="1:11" ht="15" customHeight="1" x14ac:dyDescent="0.2">
      <c r="A410" s="116">
        <v>42123</v>
      </c>
      <c r="B410" s="83"/>
      <c r="C410" s="84"/>
      <c r="D410" s="23" t="s">
        <v>50</v>
      </c>
      <c r="E410" s="56" t="s">
        <v>326</v>
      </c>
      <c r="F410" s="17"/>
      <c r="G410" s="18"/>
      <c r="H410" s="17">
        <f>I410*$H$24</f>
        <v>9719.9570700000004</v>
      </c>
      <c r="I410" s="64">
        <v>1290.06</v>
      </c>
      <c r="J410" s="18"/>
      <c r="K410" s="66">
        <v>1720.08</v>
      </c>
    </row>
    <row r="411" spans="1:11" ht="15" customHeight="1" x14ac:dyDescent="0.2">
      <c r="A411" s="116">
        <v>42118</v>
      </c>
      <c r="B411" s="83"/>
      <c r="C411" s="84"/>
      <c r="D411" s="23" t="s">
        <v>52</v>
      </c>
      <c r="E411" s="56" t="s">
        <v>300</v>
      </c>
      <c r="F411" s="17"/>
      <c r="G411" s="18"/>
      <c r="H411" s="17">
        <f>I411*$H$24</f>
        <v>2555.325675</v>
      </c>
      <c r="I411" s="64">
        <v>339.15</v>
      </c>
      <c r="J411" s="18"/>
      <c r="K411" s="66">
        <v>448.35</v>
      </c>
    </row>
    <row r="412" spans="1:11" ht="15" customHeight="1" x14ac:dyDescent="0.2">
      <c r="A412" s="116"/>
      <c r="B412" s="83"/>
      <c r="C412" s="84"/>
      <c r="D412" s="9"/>
      <c r="E412" s="56"/>
      <c r="F412" s="17"/>
      <c r="G412" s="18"/>
      <c r="H412" s="17"/>
      <c r="I412" s="64"/>
      <c r="J412" s="18"/>
      <c r="K412" s="64"/>
    </row>
    <row r="413" spans="1:11" ht="15" customHeight="1" x14ac:dyDescent="0.2">
      <c r="A413" s="116">
        <v>42912</v>
      </c>
      <c r="B413" s="83"/>
      <c r="C413" s="84"/>
      <c r="D413" s="9" t="s">
        <v>301</v>
      </c>
      <c r="E413" s="10" t="s">
        <v>302</v>
      </c>
      <c r="F413" s="17">
        <v>8100</v>
      </c>
      <c r="G413" s="18">
        <v>1075.0547481584711</v>
      </c>
      <c r="H413" s="17">
        <f>I413*$H$24</f>
        <v>2624.5677299999998</v>
      </c>
      <c r="I413" s="19">
        <v>348.34</v>
      </c>
      <c r="J413" s="18">
        <v>680</v>
      </c>
      <c r="K413" s="18">
        <v>676.17</v>
      </c>
    </row>
    <row r="414" spans="1:11" ht="15" customHeight="1" x14ac:dyDescent="0.2">
      <c r="A414" s="232"/>
      <c r="B414" s="83"/>
      <c r="C414" s="84"/>
      <c r="D414" s="9"/>
      <c r="E414" s="10"/>
      <c r="F414" s="17"/>
      <c r="G414" s="18"/>
      <c r="H414" s="17"/>
      <c r="I414" s="19"/>
      <c r="J414" s="18"/>
      <c r="K414" s="18"/>
    </row>
    <row r="415" spans="1:11" ht="15" customHeight="1" x14ac:dyDescent="0.2">
      <c r="A415" s="232">
        <v>42913</v>
      </c>
      <c r="B415" s="83"/>
      <c r="C415" s="84"/>
      <c r="D415" s="9" t="s">
        <v>303</v>
      </c>
      <c r="E415" s="10" t="s">
        <v>304</v>
      </c>
      <c r="F415" s="17">
        <v>5000</v>
      </c>
      <c r="G415" s="18">
        <v>663.61404207313024</v>
      </c>
      <c r="H415" s="17">
        <f>I415*$H$24</f>
        <v>2668.192485</v>
      </c>
      <c r="I415" s="19">
        <v>354.13</v>
      </c>
      <c r="J415" s="18">
        <v>663.61404207313024</v>
      </c>
      <c r="K415" s="18">
        <v>354.13</v>
      </c>
    </row>
    <row r="416" spans="1:11" ht="15" customHeight="1" x14ac:dyDescent="0.2">
      <c r="A416" s="232"/>
      <c r="B416" s="182"/>
      <c r="C416" s="183"/>
      <c r="D416" s="9"/>
      <c r="E416" s="10"/>
      <c r="F416" s="17"/>
      <c r="G416" s="18"/>
      <c r="H416" s="17">
        <f>I416*$H$24</f>
        <v>0</v>
      </c>
      <c r="I416" s="19"/>
      <c r="J416" s="5"/>
      <c r="K416" s="5"/>
    </row>
    <row r="417" spans="1:11" ht="15" customHeight="1" x14ac:dyDescent="0.35">
      <c r="A417" s="327"/>
      <c r="B417" s="328"/>
      <c r="C417" s="329"/>
      <c r="D417" s="9"/>
      <c r="E417" s="82" t="s">
        <v>305</v>
      </c>
      <c r="F417" s="177">
        <f>F397+F399+F407+F409+F413+F415</f>
        <v>716540</v>
      </c>
      <c r="G417" s="178">
        <v>95101.201141416153</v>
      </c>
      <c r="H417" s="177">
        <f>I417*$H$24</f>
        <v>530922.61113000009</v>
      </c>
      <c r="I417" s="179">
        <f>I397+I399+I407+I409+I413+I415</f>
        <v>70465.540000000008</v>
      </c>
      <c r="J417" s="154">
        <f>J397+J399+J407+J409+J413+J415</f>
        <v>96706.146393257703</v>
      </c>
      <c r="K417" s="154">
        <f>K397+K399+K407+K409+K413+K415</f>
        <v>97497.074383170751</v>
      </c>
    </row>
    <row r="418" spans="1:11" ht="16.5" customHeight="1" x14ac:dyDescent="0.3">
      <c r="A418" s="330">
        <v>4</v>
      </c>
      <c r="B418" s="330"/>
      <c r="C418" s="330"/>
      <c r="D418" s="184"/>
      <c r="E418" s="10"/>
      <c r="F418" s="46" t="s">
        <v>306</v>
      </c>
      <c r="G418" s="47"/>
      <c r="H418" s="46"/>
      <c r="I418" s="48"/>
      <c r="J418" s="185"/>
      <c r="K418" s="185"/>
    </row>
    <row r="419" spans="1:11" ht="16.5" customHeight="1" x14ac:dyDescent="0.35">
      <c r="A419" s="330"/>
      <c r="B419" s="330"/>
      <c r="C419" s="330"/>
      <c r="D419" s="184"/>
      <c r="E419" s="186" t="s">
        <v>307</v>
      </c>
      <c r="F419" s="187">
        <f>F89+F298+F394+F417</f>
        <v>3307545.83</v>
      </c>
      <c r="G419" s="188">
        <v>438986.77151768532</v>
      </c>
      <c r="H419" s="187">
        <f>I419*$H$24</f>
        <v>2773238.5016050003</v>
      </c>
      <c r="I419" s="189">
        <f>I89+I298+I394+I417</f>
        <v>368072.00233658508</v>
      </c>
      <c r="J419" s="190">
        <f>J89+J298+J394+J417</f>
        <v>495296.30944455514</v>
      </c>
      <c r="K419" s="190">
        <f>K89+K298+K394+K417</f>
        <v>487855.67671975581</v>
      </c>
    </row>
    <row r="420" spans="1:11" ht="12.75" customHeight="1" x14ac:dyDescent="0.2">
      <c r="A420" s="191"/>
      <c r="B420" s="192"/>
      <c r="C420" s="193"/>
      <c r="D420" s="194"/>
      <c r="E420" s="195"/>
      <c r="F420" s="196"/>
      <c r="G420" s="197"/>
      <c r="H420" s="196">
        <f>I420*$H$24</f>
        <v>0</v>
      </c>
      <c r="I420" s="198"/>
      <c r="J420" s="5"/>
      <c r="K420" s="5"/>
    </row>
    <row r="421" spans="1:11" ht="16.5" customHeight="1" x14ac:dyDescent="0.35">
      <c r="A421" s="36"/>
      <c r="B421" s="81"/>
      <c r="C421" s="199"/>
      <c r="D421" s="200">
        <v>1</v>
      </c>
      <c r="E421" s="201" t="s">
        <v>308</v>
      </c>
      <c r="F421" s="75">
        <f>F419</f>
        <v>3307545.83</v>
      </c>
      <c r="G421" s="202">
        <v>438986.77151768532</v>
      </c>
      <c r="H421" s="75">
        <f>I421*$H$24</f>
        <v>2773238.5016050003</v>
      </c>
      <c r="I421" s="203">
        <f>I419</f>
        <v>368072.00233658508</v>
      </c>
      <c r="J421" s="154">
        <f>J419</f>
        <v>495296.30944455514</v>
      </c>
      <c r="K421" s="154">
        <f>K419</f>
        <v>487855.67671975581</v>
      </c>
    </row>
    <row r="422" spans="1:11" ht="16.5" customHeight="1" x14ac:dyDescent="0.35">
      <c r="A422" s="36"/>
      <c r="B422" s="81"/>
      <c r="C422" s="199"/>
      <c r="D422" s="204">
        <v>2</v>
      </c>
      <c r="E422" s="205" t="s">
        <v>309</v>
      </c>
      <c r="F422" s="75">
        <f>F49</f>
        <v>3307545.83</v>
      </c>
      <c r="G422" s="206">
        <v>438986.77151768532</v>
      </c>
      <c r="H422" s="75">
        <f>I422*$H$24</f>
        <v>2885499.746235</v>
      </c>
      <c r="I422" s="207">
        <f>I49</f>
        <v>382971.63</v>
      </c>
      <c r="J422" s="35">
        <f>J49</f>
        <v>495296.31035038811</v>
      </c>
      <c r="K422" s="35">
        <f>K49</f>
        <v>488942.63</v>
      </c>
    </row>
    <row r="423" spans="1:11" ht="16.5" customHeight="1" x14ac:dyDescent="0.35">
      <c r="A423" s="208"/>
      <c r="B423" s="209"/>
      <c r="C423" s="210"/>
      <c r="D423" s="194"/>
      <c r="E423" s="205" t="s">
        <v>310</v>
      </c>
      <c r="F423" s="75">
        <f>F422-F421</f>
        <v>0</v>
      </c>
      <c r="G423" s="206">
        <v>0</v>
      </c>
      <c r="H423" s="75">
        <f>I423*$H$24</f>
        <v>112261.24462999977</v>
      </c>
      <c r="I423" s="207">
        <f>I422-I421</f>
        <v>14899.627663414925</v>
      </c>
      <c r="J423" s="35">
        <f>J422-J421</f>
        <v>9.0583297424018383E-4</v>
      </c>
      <c r="K423" s="35">
        <f>K422-K421</f>
        <v>1086.9532802441972</v>
      </c>
    </row>
    <row r="425" spans="1:11" ht="12" customHeight="1" x14ac:dyDescent="0.2">
      <c r="A425" s="211" t="s">
        <v>311</v>
      </c>
      <c r="B425" s="316" t="s">
        <v>312</v>
      </c>
      <c r="C425" s="317"/>
      <c r="D425" s="318"/>
      <c r="H425" s="245" t="s">
        <v>313</v>
      </c>
      <c r="I425" s="244">
        <v>14899.63</v>
      </c>
      <c r="J425" s="245" t="s">
        <v>313</v>
      </c>
      <c r="K425" s="244">
        <v>1086.95</v>
      </c>
    </row>
    <row r="426" spans="1:11" ht="12" customHeight="1" x14ac:dyDescent="0.3">
      <c r="A426" s="211" t="s">
        <v>27</v>
      </c>
      <c r="B426" s="316" t="s">
        <v>314</v>
      </c>
      <c r="C426" s="317"/>
      <c r="D426" s="318"/>
      <c r="H426" s="245" t="s">
        <v>315</v>
      </c>
      <c r="I426" s="246">
        <f>I423-I425</f>
        <v>-2.3365850738628069E-3</v>
      </c>
      <c r="J426" s="245" t="s">
        <v>315</v>
      </c>
      <c r="K426" s="246">
        <f>K423-K425</f>
        <v>3.2802441971853114E-3</v>
      </c>
    </row>
    <row r="427" spans="1:11" ht="12.75" customHeight="1" x14ac:dyDescent="0.3">
      <c r="A427" s="211" t="s">
        <v>316</v>
      </c>
      <c r="B427" s="316" t="s">
        <v>317</v>
      </c>
      <c r="C427" s="317"/>
      <c r="D427" s="318"/>
      <c r="I427" s="215"/>
    </row>
    <row r="428" spans="1:11" ht="12" customHeight="1" x14ac:dyDescent="0.3">
      <c r="I428" s="215"/>
    </row>
    <row r="429" spans="1:11" ht="12" customHeight="1" x14ac:dyDescent="0.3">
      <c r="I429" s="215"/>
    </row>
    <row r="430" spans="1:11" ht="12" customHeight="1" x14ac:dyDescent="0.3">
      <c r="I430" s="215"/>
    </row>
    <row r="431" spans="1:11" ht="12" customHeight="1" x14ac:dyDescent="0.3">
      <c r="I431" s="215"/>
    </row>
    <row r="432" spans="1:11" ht="12" customHeight="1" x14ac:dyDescent="0.3">
      <c r="I432" s="215"/>
    </row>
    <row r="433" spans="1:9" ht="12" customHeight="1" x14ac:dyDescent="0.3">
      <c r="I433" s="215"/>
    </row>
    <row r="434" spans="1:9" ht="12" customHeight="1" x14ac:dyDescent="0.3">
      <c r="I434" s="215"/>
    </row>
    <row r="435" spans="1:9" ht="12.75" customHeight="1" x14ac:dyDescent="0.3">
      <c r="A435" s="219" t="s">
        <v>318</v>
      </c>
      <c r="F435" s="288" t="s">
        <v>319</v>
      </c>
      <c r="I435" s="215"/>
    </row>
    <row r="436" spans="1:9" ht="12.75" customHeight="1" x14ac:dyDescent="0.3">
      <c r="A436" s="220"/>
      <c r="B436" s="221"/>
      <c r="C436" s="221"/>
      <c r="D436" s="222"/>
      <c r="I436" s="215"/>
    </row>
  </sheetData>
  <mergeCells count="28">
    <mergeCell ref="B427:D427"/>
    <mergeCell ref="K23:K24"/>
    <mergeCell ref="A49:C49"/>
    <mergeCell ref="D51:E51"/>
    <mergeCell ref="A52:A87"/>
    <mergeCell ref="D89:E89"/>
    <mergeCell ref="E109:E110"/>
    <mergeCell ref="D392:D393"/>
    <mergeCell ref="A417:C417"/>
    <mergeCell ref="A418:C419"/>
    <mergeCell ref="B425:D425"/>
    <mergeCell ref="B426:D426"/>
    <mergeCell ref="A2:K2"/>
    <mergeCell ref="A20:K20"/>
    <mergeCell ref="A21:K21"/>
    <mergeCell ref="A22:E22"/>
    <mergeCell ref="A23:A24"/>
    <mergeCell ref="B23:B24"/>
    <mergeCell ref="C23:C24"/>
    <mergeCell ref="D23:E24"/>
    <mergeCell ref="F23:F24"/>
    <mergeCell ref="I23:I24"/>
    <mergeCell ref="J23:J24"/>
    <mergeCell ref="A19:K19"/>
    <mergeCell ref="A13:D13"/>
    <mergeCell ref="A17:K17"/>
    <mergeCell ref="A18:K18"/>
    <mergeCell ref="A15:K15"/>
  </mergeCells>
  <printOptions horizontalCentered="1"/>
  <pageMargins left="0.39370078740157483" right="0.39370078740157483" top="0.59055118110236227" bottom="0.51181102362204722" header="0" footer="0"/>
  <pageSetup paperSize="9" orientation="landscape" r:id="rId1"/>
  <headerFooter scaleWithDoc="0">
    <oddHeader>&amp;L&amp;"Times New Roman,Uobičajeno"IZVRŠENJE FINANCIJSKOG PLANA ZA 2023.G.&amp;C&amp;"Times New Roman,Uobičajeno"
&amp;"Arial,Uobičajeno"
&amp;R&amp;"Times New Roman,Uobičajeno"HŠRS</oddHeader>
    <oddFooter>&amp;C&amp;G&amp;R&amp;"Times New Roman,Uobičajeno"&amp;P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FINAN. PL.-ZVRŠ. 01-12 2023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Davorka</dc:creator>
  <cp:lastModifiedBy>Davorka</cp:lastModifiedBy>
  <cp:lastPrinted>2024-02-28T10:48:30Z</cp:lastPrinted>
  <dcterms:created xsi:type="dcterms:W3CDTF">2024-02-27T09:25:34Z</dcterms:created>
  <dcterms:modified xsi:type="dcterms:W3CDTF">2024-03-04T11:30:37Z</dcterms:modified>
</cp:coreProperties>
</file>