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drawings/drawing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7.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8.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9.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0" windowWidth="9075" windowHeight="5565" activeTab="0"/>
  </bookViews>
  <sheets>
    <sheet name="Organizacija natjecanja" sheetId="1" r:id="rId1"/>
    <sheet name="Prijava ekipa i izvlačenje br." sheetId="2" r:id="rId2"/>
    <sheet name="Odabir žirija natjecanja" sheetId="3" state="hidden" r:id="rId3"/>
    <sheet name="Žiri natjecanja" sheetId="4" r:id="rId4"/>
    <sheet name="Startne liste A SEKTOR" sheetId="5" r:id="rId5"/>
    <sheet name="Startne liste B SEKTOR" sheetId="6" r:id="rId6"/>
    <sheet name="Startne liste C SEKTOR" sheetId="7" r:id="rId7"/>
    <sheet name="Startne liste D SEKTOR" sheetId="8" r:id="rId8"/>
    <sheet name="Startne liste E SEKTOR" sheetId="9" r:id="rId9"/>
    <sheet name="Upis rezultata A sektora" sheetId="10" r:id="rId10"/>
    <sheet name="Upis rezultata B sektora" sheetId="11" r:id="rId11"/>
    <sheet name="Upis rezultata C sektora" sheetId="12" r:id="rId12"/>
    <sheet name="Upis rezultata D sektora" sheetId="13" r:id="rId13"/>
    <sheet name="Upis rezultata E sektora" sheetId="14" r:id="rId14"/>
    <sheet name="Dnevnik" sheetId="15" r:id="rId15"/>
    <sheet name="Dnevnik novi" sheetId="16" state="hidden" r:id="rId16"/>
    <sheet name="Sektorski plasman" sheetId="17" state="hidden" r:id="rId17"/>
    <sheet name="Ekipni plasman" sheetId="18" state="hidden" r:id="rId18"/>
    <sheet name="Dnevnik -vodoravni" sheetId="19" r:id="rId19"/>
    <sheet name="Ispis sektorskog plasmana" sheetId="20" r:id="rId20"/>
    <sheet name="Ispis ekipnog plasmana" sheetId="21" r:id="rId21"/>
    <sheet name="Pojedinačni plasman" sheetId="22" state="hidden" r:id="rId22"/>
    <sheet name="Ispis pojedinačnog plasmana" sheetId="23" r:id="rId23"/>
    <sheet name="Proglašenje rezultata" sheetId="24" r:id="rId24"/>
    <sheet name="Analiza natjecanja " sheetId="25" r:id="rId25"/>
    <sheet name="Dijagram težine" sheetId="26" r:id="rId26"/>
    <sheet name="Prijavnica" sheetId="27" r:id="rId27"/>
  </sheets>
  <definedNames>
    <definedName name="_xlnm.Print_Area" localSheetId="24">'Analiza natjecanja '!$A$1:$H$53</definedName>
    <definedName name="_xlnm.Print_Area" localSheetId="25">'Dijagram težine'!$A$1:$R$16</definedName>
    <definedName name="_xlnm.Print_Area" localSheetId="14">'Dnevnik'!$C$1:$S$61</definedName>
    <definedName name="_xlnm.Print_Area" localSheetId="20">'Ispis ekipnog plasmana'!$A$1:$F$54</definedName>
    <definedName name="_xlnm.Print_Area" localSheetId="22">'Ispis pojedinačnog plasmana'!$A$1:$H$113</definedName>
    <definedName name="_xlnm.Print_Area" localSheetId="19">'Ispis sektorskog plasmana'!$A$1:$F$111</definedName>
    <definedName name="_xlnm.Print_Area" localSheetId="0">'Organizacija natjecanja'!$B$1:$O$30</definedName>
    <definedName name="_xlnm.Print_Area" localSheetId="26">'Prijavnica'!$B$1:$J$44</definedName>
    <definedName name="_xlnm.Print_Area" localSheetId="23">'Proglašenje rezultata'!$A$1:$G$101</definedName>
    <definedName name="_xlnm.Print_Area" localSheetId="4">'Startne liste A SEKTOR'!$A$1:$I$336</definedName>
    <definedName name="_xlnm.Print_Area" localSheetId="5">'Startne liste B SEKTOR'!$A$1:$I$336</definedName>
    <definedName name="_xlnm.Print_Area" localSheetId="6">'Startne liste C SEKTOR'!$A$1:$I$336</definedName>
    <definedName name="_xlnm.Print_Area" localSheetId="7">'Startne liste D SEKTOR'!$A$1:$I$336</definedName>
    <definedName name="_xlnm.Print_Area" localSheetId="8">'Startne liste E SEKTOR'!$A$1:$I$336</definedName>
    <definedName name="_xlnm.Print_Area" localSheetId="9">'Upis rezultata A sektora'!$A$1:$N$54</definedName>
    <definedName name="_xlnm.Print_Area" localSheetId="10">'Upis rezultata B sektora'!$A$1:$J$54</definedName>
    <definedName name="_xlnm.Print_Area" localSheetId="11">'Upis rezultata C sektora'!$A$1:$J$54</definedName>
    <definedName name="_xlnm.Print_Area" localSheetId="12">'Upis rezultata D sektora'!$A$1:$J$54</definedName>
    <definedName name="_xlnm.Print_Area" localSheetId="13">'Upis rezultata E sektora'!$A$1:$J$54</definedName>
  </definedNames>
  <calcPr fullCalcOnLoad="1"/>
</workbook>
</file>

<file path=xl/comments1.xml><?xml version="1.0" encoding="utf-8"?>
<comments xmlns="http://schemas.openxmlformats.org/spreadsheetml/2006/main">
  <authors>
    <author>Mladen Čačić</author>
  </authors>
  <commentList>
    <comment ref="J3" authorId="0">
      <text>
        <r>
          <rPr>
            <b/>
            <sz val="10"/>
            <rFont val="Tahoma"/>
            <family val="2"/>
          </rPr>
          <t>Mladen Čačić:</t>
        </r>
        <r>
          <rPr>
            <sz val="8"/>
            <rFont val="Tahoma"/>
            <family val="0"/>
          </rPr>
          <t xml:space="preserve">
</t>
        </r>
        <r>
          <rPr>
            <sz val="10"/>
            <rFont val="Tahoma"/>
            <family val="2"/>
          </rPr>
          <t>Ovdje je važno popuniti sve rubrike koje je moguće popunti jer će  podaci biti prenešeni na niz drugih radnih listova. Pri unosu podataka koristite tipku "Tab"na tastaturi za prelaz na idući redak gdje se vrši upis podatka.</t>
        </r>
      </text>
    </comment>
  </commentList>
</comments>
</file>

<file path=xl/comments10.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N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1.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2.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3.xml><?xml version="1.0" encoding="utf-8"?>
<comments xmlns="http://schemas.openxmlformats.org/spreadsheetml/2006/main">
  <authors>
    <author>Mladen Čačić</author>
  </authors>
  <commentList>
    <comment ref="F1" authorId="0">
      <text>
        <r>
          <rPr>
            <b/>
            <sz val="8"/>
            <rFont val="Tahoma"/>
            <family val="0"/>
          </rPr>
          <t>Mladen Čačić:</t>
        </r>
        <r>
          <rPr>
            <sz val="8"/>
            <rFont val="Tahoma"/>
            <family val="0"/>
          </rPr>
          <t xml:space="preserve">
 Samo popuni rubriku "Grama-bodova"</t>
        </r>
      </text>
    </comment>
    <comment ref="J1" authorId="0">
      <text>
        <r>
          <rPr>
            <b/>
            <sz val="8"/>
            <rFont val="Tahoma"/>
            <family val="0"/>
          </rPr>
          <t>Mladen Čačić:</t>
        </r>
        <r>
          <rPr>
            <sz val="8"/>
            <rFont val="Tahoma"/>
            <family val="0"/>
          </rPr>
          <t xml:space="preserve">
Kazneni bod (1) dobiva natjecatelj ako na natjecanju nema baždarene posude za hranu i mamce</t>
        </r>
      </text>
    </comment>
  </commentList>
</comments>
</file>

<file path=xl/comments14.xml><?xml version="1.0" encoding="utf-8"?>
<comments xmlns="http://schemas.openxmlformats.org/spreadsheetml/2006/main">
  <authors>
    <author>Mladen Čačić</author>
  </authors>
  <commentList>
    <comment ref="J1" authorId="0">
      <text>
        <r>
          <rPr>
            <b/>
            <sz val="8"/>
            <rFont val="Tahoma"/>
            <family val="0"/>
          </rPr>
          <t>Mladen Čačić:</t>
        </r>
        <r>
          <rPr>
            <sz val="8"/>
            <rFont val="Tahoma"/>
            <family val="0"/>
          </rPr>
          <t xml:space="preserve">
Kazneni bod (1) dobiva natjecatelj ako na natjecanju nema baždarene posude za hranu i mamce</t>
        </r>
      </text>
    </comment>
    <comment ref="F1" authorId="0">
      <text>
        <r>
          <rPr>
            <b/>
            <sz val="8"/>
            <rFont val="Tahoma"/>
            <family val="0"/>
          </rPr>
          <t>Mladen Čačić:</t>
        </r>
        <r>
          <rPr>
            <sz val="8"/>
            <rFont val="Tahoma"/>
            <family val="0"/>
          </rPr>
          <t xml:space="preserve">
 Samo popuni rubriku "Grama-bodova" i zatim</t>
        </r>
        <r>
          <rPr>
            <sz val="10"/>
            <color indexed="10"/>
            <rFont val="Tahoma"/>
            <family val="2"/>
          </rPr>
          <t xml:space="preserve"> klikni na grb HŠRS na zaglavlju tabele</t>
        </r>
      </text>
    </comment>
  </commentList>
</comments>
</file>

<file path=xl/comments15.xml><?xml version="1.0" encoding="utf-8"?>
<comments xmlns="http://schemas.openxmlformats.org/spreadsheetml/2006/main">
  <authors>
    <author>Mladen Čačić</author>
  </authors>
  <commentList>
    <comment ref="M4" authorId="0">
      <text>
        <r>
          <rPr>
            <b/>
            <sz val="12"/>
            <rFont val="Tahoma"/>
            <family val="2"/>
          </rPr>
          <t>Mladen Čačić:</t>
        </r>
        <r>
          <rPr>
            <sz val="12"/>
            <rFont val="Tahoma"/>
            <family val="2"/>
          </rPr>
          <t xml:space="preserve">
Samo printaj !</t>
        </r>
      </text>
    </comment>
  </commentList>
</comments>
</file>

<file path=xl/comments17.xml><?xml version="1.0" encoding="utf-8"?>
<comments xmlns="http://schemas.openxmlformats.org/spreadsheetml/2006/main">
  <authors>
    <author>Mladen Čačić</author>
  </authors>
  <commentList>
    <comment ref="E5" authorId="0">
      <text>
        <r>
          <rPr>
            <b/>
            <sz val="8"/>
            <rFont val="Tahoma"/>
            <family val="0"/>
          </rPr>
          <t>Mladen Čačić:</t>
        </r>
        <r>
          <rPr>
            <sz val="8"/>
            <rFont val="Tahoma"/>
            <family val="0"/>
          </rPr>
          <t xml:space="preserve">
Označi sektorske plasmane  i sortiraj od 1-n. PAZI ! Ovdje su svi sektori  pa isto ponovi na svakom!</t>
        </r>
      </text>
    </comment>
  </commentList>
</comments>
</file>

<file path=xl/comments18.xml><?xml version="1.0" encoding="utf-8"?>
<comments xmlns="http://schemas.openxmlformats.org/spreadsheetml/2006/main">
  <authors>
    <author>Mladen Čačić</author>
  </authors>
  <commentList>
    <comment ref="F5" authorId="0">
      <text>
        <r>
          <rPr>
            <b/>
            <sz val="8"/>
            <rFont val="Tahoma"/>
            <family val="0"/>
          </rPr>
          <t xml:space="preserve">Mladen Čačić:
</t>
        </r>
        <r>
          <rPr>
            <sz val="8"/>
            <rFont val="Tahoma"/>
            <family val="2"/>
          </rPr>
          <t>E</t>
        </r>
        <r>
          <rPr>
            <sz val="8"/>
            <rFont val="Tahoma"/>
            <family val="0"/>
          </rPr>
          <t>kipni plasman  sortiraj  od 1-n</t>
        </r>
      </text>
    </comment>
  </commentList>
</comments>
</file>

<file path=xl/comments19.xml><?xml version="1.0" encoding="utf-8"?>
<comments xmlns="http://schemas.openxmlformats.org/spreadsheetml/2006/main">
  <authors>
    <author>Mladen Čačić</author>
  </authors>
  <commentList>
    <comment ref="W2" authorId="0">
      <text>
        <r>
          <rPr>
            <b/>
            <sz val="18"/>
            <rFont val="Tahoma"/>
            <family val="2"/>
          </rPr>
          <t>Mladen Čačić:</t>
        </r>
        <r>
          <rPr>
            <sz val="18"/>
            <rFont val="Tahoma"/>
            <family val="2"/>
          </rPr>
          <t xml:space="preserve">
Samo printaj !</t>
        </r>
      </text>
    </comment>
  </commentList>
</comments>
</file>

<file path=xl/comments2.xml><?xml version="1.0" encoding="utf-8"?>
<comments xmlns="http://schemas.openxmlformats.org/spreadsheetml/2006/main">
  <authors>
    <author>Mladen Čačić</author>
    <author>Mladenov laptop</author>
  </authors>
  <commentList>
    <comment ref="A1" authorId="0">
      <text>
        <r>
          <rPr>
            <b/>
            <sz val="8"/>
            <rFont val="Tahoma"/>
            <family val="0"/>
          </rPr>
          <t xml:space="preserve">Mladen Čačić:
</t>
        </r>
        <r>
          <rPr>
            <sz val="8"/>
            <rFont val="Tahoma"/>
            <family val="0"/>
          </rPr>
          <t xml:space="preserve">Nakon što je tablica čitava popunjena, </t>
        </r>
        <r>
          <rPr>
            <sz val="8"/>
            <color indexed="10"/>
            <rFont val="Tahoma"/>
            <family val="2"/>
          </rPr>
          <t>tablicu ostavi sortiranu po Jedinstvenom startnom broju od 1-n</t>
        </r>
        <r>
          <rPr>
            <sz val="8"/>
            <rFont val="Tahoma"/>
            <family val="0"/>
          </rPr>
          <t>.U tom slučaju ne moraš kasnije razrezivati startne liste za pojedine sektore već ćeš imati startne liste složene rastućim redom (po dvije na jednom listu) pa ćeš ih takve i predati sektorskim sudcima.</t>
        </r>
      </text>
    </comment>
    <comment ref="B1" authorId="0">
      <text>
        <r>
          <rPr>
            <b/>
            <sz val="8"/>
            <rFont val="Tahoma"/>
            <family val="0"/>
          </rPr>
          <t>Mladen Čačić:</t>
        </r>
        <r>
          <rPr>
            <sz val="8"/>
            <rFont val="Tahoma"/>
            <family val="0"/>
          </rPr>
          <t xml:space="preserve">
Nakon unosa redosljeda </t>
        </r>
        <r>
          <rPr>
            <sz val="8"/>
            <color indexed="10"/>
            <rFont val="Tahoma"/>
            <family val="2"/>
          </rPr>
          <t>sortitaj od 1-n.</t>
        </r>
      </text>
    </comment>
    <comment ref="C1" authorId="0">
      <text>
        <r>
          <rPr>
            <b/>
            <sz val="8"/>
            <rFont val="Tahoma"/>
            <family val="0"/>
          </rPr>
          <t xml:space="preserve">Mladen Čačić:
</t>
        </r>
        <r>
          <rPr>
            <sz val="8"/>
            <rFont val="Tahoma"/>
            <family val="2"/>
          </rPr>
          <t>Možete unijeti do 12 ekipa.</t>
        </r>
        <r>
          <rPr>
            <sz val="8"/>
            <rFont val="Tahoma"/>
            <family val="0"/>
          </rPr>
          <t xml:space="preserve">
Nakon završetka unosa podataka sa prijavnica </t>
        </r>
        <r>
          <rPr>
            <sz val="8"/>
            <color indexed="10"/>
            <rFont val="Tahoma"/>
            <family val="2"/>
          </rPr>
          <t>sortiraj</t>
        </r>
        <r>
          <rPr>
            <sz val="8"/>
            <rFont val="Tahoma"/>
            <family val="0"/>
          </rPr>
          <t xml:space="preserve"> ekipe od </t>
        </r>
        <r>
          <rPr>
            <sz val="8"/>
            <color indexed="10"/>
            <rFont val="Tahoma"/>
            <family val="2"/>
          </rPr>
          <t>1-n</t>
        </r>
        <r>
          <rPr>
            <sz val="8"/>
            <rFont val="Tahoma"/>
            <family val="0"/>
          </rPr>
          <t xml:space="preserve"> ili od </t>
        </r>
        <r>
          <rPr>
            <sz val="8"/>
            <color indexed="10"/>
            <rFont val="Tahoma"/>
            <family val="2"/>
          </rPr>
          <t>n-1</t>
        </r>
        <r>
          <rPr>
            <sz val="8"/>
            <rFont val="Tahoma"/>
            <family val="0"/>
          </rPr>
          <t xml:space="preserve"> (sukladno Pravilniku).
</t>
        </r>
        <r>
          <rPr>
            <sz val="8"/>
            <color indexed="10"/>
            <rFont val="Tahoma"/>
            <family val="2"/>
          </rPr>
          <t>SAVJET:</t>
        </r>
        <r>
          <rPr>
            <sz val="8"/>
            <rFont val="Tahoma"/>
            <family val="0"/>
          </rPr>
          <t xml:space="preserve">
Ako se radi o kolima lige gdje su neke ekipe "iskoristile" prve i zadnje pozicije (lista prvi-zadnji) ili o razdvojenim sektorima (nema jedinstvenog startnog broja) pa je izvlačenje "dirigirano" te ekipa više ne može imati prvi ili zadnji broj u odvojenom sektoru,</t>
        </r>
        <r>
          <rPr>
            <sz val="8"/>
            <color indexed="10"/>
            <rFont val="Tahoma"/>
            <family val="2"/>
          </rPr>
          <t>savjetujem da se oboji polje koje sadrži takvu ekipu</t>
        </r>
        <r>
          <rPr>
            <sz val="8"/>
            <rFont val="Tahoma"/>
            <family val="0"/>
          </rPr>
          <t xml:space="preserve"> pa će biti preglednije i brže izvlačenje preostalih startnih brojeva za te ekipe.</t>
        </r>
      </text>
    </comment>
    <comment ref="D1" authorId="0">
      <text>
        <r>
          <rPr>
            <b/>
            <sz val="8"/>
            <rFont val="Tahoma"/>
            <family val="0"/>
          </rPr>
          <t>Mladen Čačić:</t>
        </r>
        <r>
          <rPr>
            <sz val="8"/>
            <rFont val="Tahoma"/>
            <family val="0"/>
          </rPr>
          <t xml:space="preserve">
</t>
        </r>
        <r>
          <rPr>
            <b/>
            <sz val="10"/>
            <color indexed="10"/>
            <rFont val="Tahoma"/>
            <family val="2"/>
          </rPr>
          <t>Savjet:</t>
        </r>
        <r>
          <rPr>
            <sz val="8"/>
            <rFont val="Tahoma"/>
            <family val="0"/>
          </rPr>
          <t xml:space="preserve">
Nakon što si popunio sve
rubrike</t>
        </r>
        <r>
          <rPr>
            <u val="single"/>
            <sz val="9"/>
            <rFont val="Tahoma"/>
            <family val="2"/>
          </rPr>
          <t xml:space="preserve"> </t>
        </r>
        <r>
          <rPr>
            <u val="single"/>
            <sz val="9"/>
            <color indexed="10"/>
            <rFont val="Tahoma"/>
            <family val="2"/>
          </rPr>
          <t>isprintaj ovu listu</t>
        </r>
        <r>
          <rPr>
            <sz val="8"/>
            <color indexed="10"/>
            <rFont val="Tahoma"/>
            <family val="2"/>
          </rPr>
          <t>.</t>
        </r>
        <r>
          <rPr>
            <sz val="8"/>
            <rFont val="Tahoma"/>
            <family val="0"/>
          </rPr>
          <t xml:space="preserve">
Tada nije potrebno podatke o redosljedu izvlačenja, sektoru i startnom broju upisivati na prijavnice.
</t>
        </r>
      </text>
    </comment>
    <comment ref="S1" authorId="1">
      <text>
        <r>
          <rPr>
            <b/>
            <sz val="8"/>
            <rFont val="Tahoma"/>
            <family val="0"/>
          </rPr>
          <t xml:space="preserve">Mladen Čačić:
</t>
        </r>
        <r>
          <rPr>
            <sz val="8"/>
            <rFont val="Tahoma"/>
            <family val="2"/>
          </rPr>
          <t xml:space="preserve">Vrlo je važno da se obrati pažnja  </t>
        </r>
        <r>
          <rPr>
            <u val="single"/>
            <sz val="10"/>
            <color indexed="10"/>
            <rFont val="Tahoma"/>
            <family val="2"/>
          </rPr>
          <t>kada je kapetan u dvojnoj funkciji</t>
        </r>
        <r>
          <rPr>
            <sz val="10"/>
            <color indexed="10"/>
            <rFont val="Tahoma"/>
            <family val="2"/>
          </rPr>
          <t xml:space="preserve"> </t>
        </r>
        <r>
          <rPr>
            <sz val="8"/>
            <rFont val="Tahoma"/>
            <family val="2"/>
          </rPr>
          <t xml:space="preserve">natjecatelj-kapetan da se upiše </t>
        </r>
        <r>
          <rPr>
            <sz val="10"/>
            <color indexed="10"/>
            <rFont val="Tahoma"/>
            <family val="2"/>
          </rPr>
          <t>identično</t>
        </r>
        <r>
          <rPr>
            <sz val="8"/>
            <rFont val="Tahoma"/>
            <family val="2"/>
          </rPr>
          <t xml:space="preserve"> kao u prethodnim kolonama gdje su upisani natjecatelji, kako bi program to prepoznao i mogao pravilno odabrati Žiri natjecanja</t>
        </r>
        <r>
          <rPr>
            <sz val="8"/>
            <rFont val="Tahoma"/>
            <family val="0"/>
          </rPr>
          <t xml:space="preserve">
</t>
        </r>
        <r>
          <rPr>
            <sz val="10"/>
            <color indexed="10"/>
            <rFont val="Tahoma"/>
            <family val="2"/>
          </rPr>
          <t>(</t>
        </r>
        <r>
          <rPr>
            <u val="single"/>
            <sz val="10"/>
            <color indexed="10"/>
            <rFont val="Tahoma"/>
            <family val="2"/>
          </rPr>
          <t>u Žiri mogu ući samo oni koji nisu u dvojnoj funkciji</t>
        </r>
        <r>
          <rPr>
            <sz val="10"/>
            <color indexed="10"/>
            <rFont val="Tahoma"/>
            <family val="2"/>
          </rPr>
          <t xml:space="preserve">).
</t>
        </r>
        <r>
          <rPr>
            <sz val="9"/>
            <rFont val="Tahoma"/>
            <family val="2"/>
          </rPr>
          <t xml:space="preserve">U koliko je </t>
        </r>
        <r>
          <rPr>
            <sz val="10"/>
            <color indexed="10"/>
            <rFont val="Tahoma"/>
            <family val="2"/>
          </rPr>
          <t xml:space="preserve">jedinstveni startni broj </t>
        </r>
        <r>
          <rPr>
            <sz val="10"/>
            <rFont val="Tahoma"/>
            <family val="2"/>
          </rPr>
          <t>obrazac je u redu.Ako si ga slučajno priredio za prekid staze</t>
        </r>
        <r>
          <rPr>
            <sz val="10"/>
            <color indexed="10"/>
            <rFont val="Tahoma"/>
            <family val="2"/>
          </rPr>
          <t xml:space="preserve"> klikni na ovaj grb pa će se obrazac prilagoditi za upis natjecanja bez prekida staze.</t>
        </r>
      </text>
    </comment>
    <comment ref="U1" authorId="0">
      <text>
        <r>
          <rPr>
            <b/>
            <sz val="8"/>
            <rFont val="Tahoma"/>
            <family val="0"/>
          </rPr>
          <t>Mladen Čačić:</t>
        </r>
        <r>
          <rPr>
            <sz val="8"/>
            <rFont val="Tahoma"/>
            <family val="0"/>
          </rPr>
          <t xml:space="preserve">
U koliko je natjecanje gdje su razdvojeni sektori pa nema jedinstvenog startnog broja ovo su pomoćne kolone (A,B,C,D,E) koji služe isključivo za sortiranje tablice prije štampanja startnih lista za pojedine sektore, npr. sortirate kolonu B prije ispisa B sektora.Kada završite sa ispisom svih sektora ostavite tablicu sortiranu po koloni A. </t>
        </r>
      </text>
    </comment>
    <comment ref="E1" authorId="0">
      <text>
        <r>
          <rPr>
            <b/>
            <sz val="8"/>
            <rFont val="Tahoma"/>
            <family val="0"/>
          </rPr>
          <t>Mladen Čačić:</t>
        </r>
        <r>
          <rPr>
            <sz val="8"/>
            <rFont val="Tahoma"/>
            <family val="0"/>
          </rPr>
          <t xml:space="preserve">
Ne upisuj već </t>
        </r>
        <r>
          <rPr>
            <sz val="8"/>
            <color indexed="10"/>
            <rFont val="Tahoma"/>
            <family val="2"/>
          </rPr>
          <t>odaberi iz padajućeg popisa</t>
        </r>
        <r>
          <rPr>
            <sz val="8"/>
            <rFont val="Tahoma"/>
            <family val="0"/>
          </rPr>
          <t xml:space="preserve"> na poljima ispod</t>
        </r>
      </text>
    </comment>
    <comment ref="F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I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L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O1" authorId="1">
      <text>
        <r>
          <rPr>
            <b/>
            <sz val="8"/>
            <rFont val="Tahoma"/>
            <family val="0"/>
          </rPr>
          <t>Mladen Čačić:</t>
        </r>
        <r>
          <rPr>
            <sz val="8"/>
            <rFont val="Tahoma"/>
            <family val="0"/>
          </rPr>
          <t xml:space="preserve">
Kada su sektori razdvojeni i ne postoji Jedinstveni startni broj posluži se prije printanja startnih lista pomoćnim kolonama </t>
        </r>
        <r>
          <rPr>
            <sz val="8"/>
            <color indexed="10"/>
            <rFont val="Tahoma"/>
            <family val="2"/>
          </rPr>
          <t>A,B,C,D i E</t>
        </r>
        <r>
          <rPr>
            <sz val="8"/>
            <rFont val="Tahoma"/>
            <family val="0"/>
          </rPr>
          <t xml:space="preserve"> na taj način da neposredno prije printanja startnih lista pojedinog sektora </t>
        </r>
        <r>
          <rPr>
            <sz val="8"/>
            <color indexed="10"/>
            <rFont val="Tahoma"/>
            <family val="2"/>
          </rPr>
          <t>sortiraš</t>
        </r>
        <r>
          <rPr>
            <sz val="8"/>
            <rFont val="Tahoma"/>
            <family val="0"/>
          </rPr>
          <t xml:space="preserve"> kolonu </t>
        </r>
        <r>
          <rPr>
            <sz val="8"/>
            <color indexed="10"/>
            <rFont val="Tahoma"/>
            <family val="2"/>
          </rPr>
          <t>A,B,C,D i E</t>
        </r>
        <r>
          <rPr>
            <sz val="8"/>
            <rFont val="Tahoma"/>
            <family val="0"/>
          </rPr>
          <t xml:space="preserve"> . Nakon printanja startnih lista ostavi sortirano po koloni A. </t>
        </r>
      </text>
    </comment>
    <comment ref="Y1" authorId="0">
      <text>
        <r>
          <rPr>
            <b/>
            <sz val="8"/>
            <rFont val="Tahoma"/>
            <family val="0"/>
          </rPr>
          <t>Mladen Čačić:</t>
        </r>
        <r>
          <rPr>
            <sz val="8"/>
            <rFont val="Tahoma"/>
            <family val="0"/>
          </rPr>
          <t xml:space="preserve">
U koliko je natjecanje gdje su </t>
        </r>
        <r>
          <rPr>
            <sz val="10"/>
            <color indexed="10"/>
            <rFont val="Tahoma"/>
            <family val="2"/>
          </rPr>
          <t xml:space="preserve">razdvojeni sektori </t>
        </r>
        <r>
          <rPr>
            <sz val="8"/>
            <rFont val="Tahoma"/>
            <family val="0"/>
          </rPr>
          <t xml:space="preserve">pa nema jedinstvenog startnog broja </t>
        </r>
        <r>
          <rPr>
            <sz val="8"/>
            <color indexed="10"/>
            <rFont val="Tahoma"/>
            <family val="2"/>
          </rPr>
          <t>klikni na grb</t>
        </r>
        <r>
          <rPr>
            <sz val="8"/>
            <rFont val="Tahoma"/>
            <family val="0"/>
          </rPr>
          <t xml:space="preserve"> (na zelenom polju) pa će se obrazac prilagoditi za upis  razdvojenih sektora.</t>
        </r>
      </text>
    </comment>
  </commentList>
</comments>
</file>

<file path=xl/comments20.xml><?xml version="1.0" encoding="utf-8"?>
<comments xmlns="http://schemas.openxmlformats.org/spreadsheetml/2006/main">
  <authors>
    <author>Mladenov laptop</author>
  </authors>
  <commentList>
    <comment ref="G4" authorId="0">
      <text>
        <r>
          <rPr>
            <b/>
            <sz val="8"/>
            <rFont val="Tahoma"/>
            <family val="0"/>
          </rPr>
          <t>Mladen Čačić:</t>
        </r>
        <r>
          <rPr>
            <sz val="8"/>
            <rFont val="Tahoma"/>
            <family val="2"/>
          </rPr>
          <t xml:space="preserve">
Isprintajte si ovu stranicu ako želite  (2 lista). 
Provjeri dali je sortirano po rastućem plasmanu, ako nije klikni na grb HŠRS.</t>
        </r>
      </text>
    </comment>
  </commentList>
</comments>
</file>

<file path=xl/comments21.xml><?xml version="1.0" encoding="utf-8"?>
<comments xmlns="http://schemas.openxmlformats.org/spreadsheetml/2006/main">
  <authors>
    <author>Mladen Čačić</author>
  </authors>
  <commentList>
    <comment ref="I4" authorId="0">
      <text>
        <r>
          <rPr>
            <b/>
            <sz val="8"/>
            <rFont val="Tahoma"/>
            <family val="0"/>
          </rPr>
          <t>Mladen Čačić:</t>
        </r>
        <r>
          <rPr>
            <sz val="8"/>
            <rFont val="Tahoma"/>
            <family val="0"/>
          </rPr>
          <t xml:space="preserve">
Isprintajte ovu stranicu i stavite na oglasnu ploču ili predajte organizatoru.Provjeri dali je sortirano prema rastućem plasmanu, u koliko nije klikni na grb HŠRS.</t>
        </r>
      </text>
    </comment>
  </commentList>
</comments>
</file>

<file path=xl/comments22.xml><?xml version="1.0" encoding="utf-8"?>
<comments xmlns="http://schemas.openxmlformats.org/spreadsheetml/2006/main">
  <authors>
    <author>Mladen Čačić</author>
  </authors>
  <commentList>
    <comment ref="G4" authorId="0">
      <text>
        <r>
          <rPr>
            <b/>
            <sz val="8"/>
            <rFont val="Tahoma"/>
            <family val="0"/>
          </rPr>
          <t>Mladen Čačić:</t>
        </r>
        <r>
          <rPr>
            <sz val="8"/>
            <rFont val="Tahoma"/>
            <family val="0"/>
          </rPr>
          <t xml:space="preserve">
Sortiraj pojedinačni plasman od 1-n</t>
        </r>
      </text>
    </comment>
  </commentList>
</comments>
</file>

<file path=xl/comments23.xml><?xml version="1.0" encoding="utf-8"?>
<comments xmlns="http://schemas.openxmlformats.org/spreadsheetml/2006/main">
  <authors>
    <author>Mladen Čačić</author>
  </authors>
  <commentList>
    <comment ref="I4" authorId="0">
      <text>
        <r>
          <rPr>
            <b/>
            <sz val="8"/>
            <rFont val="Tahoma"/>
            <family val="0"/>
          </rPr>
          <t>Mladen Čačić:</t>
        </r>
        <r>
          <rPr>
            <sz val="8"/>
            <rFont val="Tahoma"/>
            <family val="0"/>
          </rPr>
          <t xml:space="preserve">
Isprintajte ovu stranicu i stavite na oglasnu ploču ili predajte organizatoru.Provjeri dali je sortirano prema rastućem plasmanu, u koiko nije klikni na grb HŠRS.</t>
        </r>
      </text>
    </comment>
  </commentList>
</comments>
</file>

<file path=xl/comments24.xml><?xml version="1.0" encoding="utf-8"?>
<comments xmlns="http://schemas.openxmlformats.org/spreadsheetml/2006/main">
  <authors>
    <author>Mladen Čačić</author>
  </authors>
  <commentList>
    <comment ref="H5" authorId="0">
      <text>
        <r>
          <rPr>
            <b/>
            <sz val="8"/>
            <rFont val="Tahoma"/>
            <family val="0"/>
          </rPr>
          <t>Mladen Čačić:</t>
        </r>
        <r>
          <rPr>
            <sz val="8"/>
            <rFont val="Tahoma"/>
            <family val="0"/>
          </rPr>
          <t xml:space="preserve">
Provjeri dali je sortirano prema plasmanu 3-1,u koliko nije klikni na grb HŠRS, štampaj i predaj Vrhovnom sucu da  proglasi rezultate</t>
        </r>
      </text>
    </comment>
  </commentList>
</comments>
</file>

<file path=xl/comments25.xml><?xml version="1.0" encoding="utf-8"?>
<comments xmlns="http://schemas.openxmlformats.org/spreadsheetml/2006/main">
  <authors>
    <author>Mladen Čačić</author>
  </authors>
  <commentList>
    <comment ref="I3" authorId="0">
      <text>
        <r>
          <rPr>
            <b/>
            <sz val="8"/>
            <rFont val="Tahoma"/>
            <family val="0"/>
          </rPr>
          <t>Mladen Čačić:</t>
        </r>
        <r>
          <rPr>
            <sz val="8"/>
            <rFont val="Tahoma"/>
            <family val="0"/>
          </rPr>
          <t xml:space="preserve">
Samo printaj!</t>
        </r>
      </text>
    </comment>
  </commentList>
</comments>
</file>

<file path=xl/comments27.xml><?xml version="1.0" encoding="utf-8"?>
<comments xmlns="http://schemas.openxmlformats.org/spreadsheetml/2006/main">
  <authors>
    <author>Mladen Čačić</author>
  </authors>
  <commentList>
    <comment ref="I2" authorId="0">
      <text>
        <r>
          <rPr>
            <b/>
            <sz val="8"/>
            <rFont val="Tahoma"/>
            <family val="0"/>
          </rPr>
          <t>Mladen Čačić:</t>
        </r>
        <r>
          <rPr>
            <sz val="8"/>
            <rFont val="Tahoma"/>
            <family val="0"/>
          </rPr>
          <t xml:space="preserve">
Umnoži si prijavnice i nakon njihovog popunjavanja od strane kapetana unesi podatke u prilog "Prijava ekipa i izvlačenje br."</t>
        </r>
      </text>
    </comment>
  </commentList>
</comments>
</file>

<file path=xl/comments3.xml><?xml version="1.0" encoding="utf-8"?>
<comments xmlns="http://schemas.openxmlformats.org/spreadsheetml/2006/main">
  <authors>
    <author>Mladen Čačić</author>
  </authors>
  <commentList>
    <comment ref="F2" authorId="0">
      <text>
        <r>
          <rPr>
            <b/>
            <sz val="8"/>
            <rFont val="Tahoma"/>
            <family val="0"/>
          </rPr>
          <t>Mladen Čačić:</t>
        </r>
        <r>
          <rPr>
            <sz val="8"/>
            <rFont val="Tahoma"/>
            <family val="0"/>
          </rPr>
          <t xml:space="preserve">
Provjeri dali je redosljed izvlačenja od 1-n ,ako nije vrati se na "Prijava ekipa  i izvlačenje br." i sortiraj redosljed izvlačenja od 1-n.Vrati se na ovu stranicu i filtriraj "Provjera"  (odaberi "kapetan"), a zatim kopiraj imena i naziv  ekipe za prva 4 kapetana te ih "zaljepi" na mjesta članova žirija od 4.-7.</t>
        </r>
      </text>
    </comment>
    <comment ref="B25" authorId="0">
      <text>
        <r>
          <rPr>
            <b/>
            <sz val="8"/>
            <rFont val="Tahoma"/>
            <family val="0"/>
          </rPr>
          <t>Mladen Čačić:</t>
        </r>
        <r>
          <rPr>
            <sz val="8"/>
            <rFont val="Tahoma"/>
            <family val="0"/>
          </rPr>
          <t xml:space="preserve">
Sortiraj "kapetan"</t>
        </r>
      </text>
    </comment>
  </commentList>
</comments>
</file>

<file path=xl/comments4.xml><?xml version="1.0" encoding="utf-8"?>
<comments xmlns="http://schemas.openxmlformats.org/spreadsheetml/2006/main">
  <authors>
    <author>Mladen Čačić</author>
  </authors>
  <commentList>
    <comment ref="C31" authorId="0">
      <text>
        <r>
          <rPr>
            <b/>
            <sz val="8"/>
            <rFont val="Tahoma"/>
            <family val="0"/>
          </rPr>
          <t>Mladen Čačić:</t>
        </r>
        <r>
          <rPr>
            <sz val="8"/>
            <rFont val="Tahoma"/>
            <family val="0"/>
          </rPr>
          <t xml:space="preserve">
Sortiraj "kapetan"</t>
        </r>
      </text>
    </comment>
    <comment ref="J5" authorId="0">
      <text>
        <r>
          <rPr>
            <b/>
            <sz val="8"/>
            <rFont val="Tahoma"/>
            <family val="0"/>
          </rPr>
          <t>Mladen Čačić:</t>
        </r>
        <r>
          <rPr>
            <sz val="8"/>
            <rFont val="Tahoma"/>
            <family val="0"/>
          </rPr>
          <t xml:space="preserve">
</t>
        </r>
        <r>
          <rPr>
            <sz val="8"/>
            <rFont val="Tahoma"/>
            <family val="0"/>
          </rPr>
          <t xml:space="preserve">Proglasite Žiri natjecanja i </t>
        </r>
        <r>
          <rPr>
            <sz val="8"/>
            <rFont val="Tahoma"/>
            <family val="2"/>
          </rPr>
          <t>isprintajte si ovu stranicu.</t>
        </r>
        <r>
          <rPr>
            <sz val="8"/>
            <rFont val="Tahoma"/>
            <family val="0"/>
          </rPr>
          <t xml:space="preserve">
</t>
        </r>
      </text>
    </comment>
  </commentList>
</comments>
</file>

<file path=xl/comments5.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"A"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6.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"B"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7.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"C"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8.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"D" te tada printaj.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text>
    </comment>
  </commentList>
</comments>
</file>

<file path=xl/comments9.xml><?xml version="1.0" encoding="utf-8"?>
<comments xmlns="http://schemas.openxmlformats.org/spreadsheetml/2006/main">
  <authors>
    <author>Mladen Čačić</author>
  </authors>
  <commentList>
    <comment ref="H2" authorId="0">
      <text>
        <r>
          <rPr>
            <b/>
            <sz val="8"/>
            <rFont val="Tahoma"/>
            <family val="0"/>
          </rPr>
          <t>Mladen Čačić:</t>
        </r>
        <r>
          <rPr>
            <sz val="8"/>
            <rFont val="Tahoma"/>
            <family val="0"/>
          </rPr>
          <t xml:space="preserve">
U koliko je na stranici "Prijava ekipa i izvlačenje br." sortirano uzlazno po rastučem jedinstvenom startnom broju, samo printaj. 
U koliko se radi o odvojenim sektorima prije printanje sortiraj pomoćnu kolonu "E" te tada printaj (tablica mora biti pripremljena za odvojene sektore). 
Ispis je moguć za 12 natjecatelja u sektoru pa je potrebno označiti koje se Startne liste štampaju, tj. </t>
        </r>
        <r>
          <rPr>
            <sz val="8"/>
            <color indexed="10"/>
            <rFont val="Tahoma"/>
            <family val="2"/>
          </rPr>
          <t>odabrati raspon ispisa od 1.-n</t>
        </r>
        <r>
          <rPr>
            <sz val="8"/>
            <rFont val="Tahoma"/>
            <family val="0"/>
          </rPr>
          <t>-te stranice računajući da su na jednom listu dva natjecatelja (npr.9 natjecatelja: raspon ispisa od 1 do 5). U koliko se ne odabere raspon ispisa ispisati će 6 stranica, dok će samo na određenom broju stranica (ovisno o broju natjecatelja u sektoru) biti svi potrebni podaci.</t>
        </r>
        <r>
          <rPr>
            <sz val="10"/>
            <color indexed="10"/>
            <rFont val="Tahoma"/>
            <family val="2"/>
          </rPr>
          <t>Po završenom printanju vrati se na list "Prijava ekipa i izvlačenje br." i ostavi sortirano po pomoćnoj koloni "A" (ako su sektori razdvojeni).</t>
        </r>
      </text>
    </comment>
  </commentList>
</comments>
</file>

<file path=xl/sharedStrings.xml><?xml version="1.0" encoding="utf-8"?>
<sst xmlns="http://schemas.openxmlformats.org/spreadsheetml/2006/main" count="1475" uniqueCount="199">
  <si>
    <t>Naziv natjecanja:</t>
  </si>
  <si>
    <t>Naziv vode:</t>
  </si>
  <si>
    <t>Mjesto i datum održavanja:</t>
  </si>
  <si>
    <t>Organizator natjecanja:</t>
  </si>
  <si>
    <t>Kategorija:</t>
  </si>
  <si>
    <t>SENIORI</t>
  </si>
  <si>
    <t>Disciplina:</t>
  </si>
  <si>
    <t>lov ribe udicom na plovak</t>
  </si>
  <si>
    <t>Domaćin natjecanja:</t>
  </si>
  <si>
    <t>Predstavnik domaćina:</t>
  </si>
  <si>
    <t>SUDAČKI KOLEGIJ:</t>
  </si>
  <si>
    <t>Vrhovni sudac:</t>
  </si>
  <si>
    <t>Delegat (predstavnik organizatora):</t>
  </si>
  <si>
    <t>Sudac A sektora:</t>
  </si>
  <si>
    <t>Sudac B sektora:</t>
  </si>
  <si>
    <t>Sudac C sektora:</t>
  </si>
  <si>
    <t>Sudac D sektora:</t>
  </si>
  <si>
    <t>Sudac E sektora:</t>
  </si>
  <si>
    <t>Jedinstveni startni broj</t>
  </si>
  <si>
    <t>Redosljed izvlačenja</t>
  </si>
  <si>
    <t>Ekipa</t>
  </si>
  <si>
    <t>Ime i prezime</t>
  </si>
  <si>
    <t>Startni broj</t>
  </si>
  <si>
    <t>Sektor</t>
  </si>
  <si>
    <t>C</t>
  </si>
  <si>
    <t>B</t>
  </si>
  <si>
    <t>A</t>
  </si>
  <si>
    <t>E</t>
  </si>
  <si>
    <t>D</t>
  </si>
  <si>
    <t>ŽIRI NATJECANJA</t>
  </si>
  <si>
    <t>Žiri se formira za ispitivanje žalbi i prekršaja,te određivanje kazni predviđenih Pravilnikom.</t>
  </si>
  <si>
    <t>Formira se prije natjecanja,a sastoji se od 7 osoba:</t>
  </si>
  <si>
    <t>*predstavnika organizatora - predsjedava žiriju</t>
  </si>
  <si>
    <t>*predstavnika domaćina</t>
  </si>
  <si>
    <t>*vrhovnog suca</t>
  </si>
  <si>
    <t>*kapetana 4 različite sudjelujuće ekipe ili pojedinca izabranih po redosljedu izvlačenja</t>
  </si>
  <si>
    <t>od broja 1, pod uvjetom da nisu u dvojnoj funkciji natjecatelj - kapetan.</t>
  </si>
  <si>
    <t>1.</t>
  </si>
  <si>
    <t>predsjedava Žiriju</t>
  </si>
  <si>
    <t>2.</t>
  </si>
  <si>
    <t>član Žirija</t>
  </si>
  <si>
    <t>3.</t>
  </si>
  <si>
    <t>4.</t>
  </si>
  <si>
    <t>5.</t>
  </si>
  <si>
    <t>6.</t>
  </si>
  <si>
    <t>7.</t>
  </si>
  <si>
    <t>Provjera</t>
  </si>
  <si>
    <t>Kapetan</t>
  </si>
  <si>
    <t>(mjesto i datum održavanja)</t>
  </si>
  <si>
    <t>P R I J A V N I C A - l o v  r i b e</t>
  </si>
  <si>
    <t>za natjecanje</t>
  </si>
  <si>
    <t xml:space="preserve">ŠRD </t>
  </si>
  <si>
    <t>KATEGORIJA</t>
  </si>
  <si>
    <t>RED.BR.</t>
  </si>
  <si>
    <t>IME I PREZIME</t>
  </si>
  <si>
    <t>SEKTOR</t>
  </si>
  <si>
    <t xml:space="preserve">   STARTNI BROJ</t>
  </si>
  <si>
    <t>KAPETAN  EKIPE</t>
  </si>
  <si>
    <t>-</t>
  </si>
  <si>
    <t>ŠRD</t>
  </si>
  <si>
    <t xml:space="preserve">        Hrvatski športsko-ribolovni savez</t>
  </si>
  <si>
    <t>(mjesto i vrijeme održavanja)</t>
  </si>
  <si>
    <t>STARTNA LISTA - LOV RIBE</t>
  </si>
  <si>
    <t>(naziv natjecanja)</t>
  </si>
  <si>
    <t>RED.IZVL.</t>
  </si>
  <si>
    <t>START.BR.</t>
  </si>
  <si>
    <t>GRAMA-BODOVA</t>
  </si>
  <si>
    <t>SEKTORSKI PLASMAN</t>
  </si>
  <si>
    <t>POJEDINAČNI PLAS.</t>
  </si>
  <si>
    <t>SUDAC:</t>
  </si>
  <si>
    <t>NATJECATELJ:</t>
  </si>
  <si>
    <t>RED.BR</t>
  </si>
  <si>
    <t>Sektorski plasman</t>
  </si>
  <si>
    <t>NATJECATELJ</t>
  </si>
  <si>
    <t>Grama - bodova</t>
  </si>
  <si>
    <t>EKIPNI PLASMANI</t>
  </si>
  <si>
    <t>Red.br.</t>
  </si>
  <si>
    <t>E K I P A  ( S  R  D )</t>
  </si>
  <si>
    <t>Zbroj sektorskih plasmana</t>
  </si>
  <si>
    <t>Ukupna težina ribe</t>
  </si>
  <si>
    <t>Najveća pojedinačna težina</t>
  </si>
  <si>
    <t>Ekipni plasman</t>
  </si>
  <si>
    <t xml:space="preserve">Na natjecanju je nastupilo  </t>
  </si>
  <si>
    <t>ekipa,</t>
  </si>
  <si>
    <t>natjecatelja</t>
  </si>
  <si>
    <t>kapetana ekipa,</t>
  </si>
  <si>
    <t>sudaca.</t>
  </si>
  <si>
    <t>Ukupno</t>
  </si>
  <si>
    <t>sudionika.</t>
  </si>
  <si>
    <t>Postignuti su sljedeći rezultati:</t>
  </si>
  <si>
    <t>Pojedinačno po sektorima:</t>
  </si>
  <si>
    <t>POJEDINAČNI PLASMAN</t>
  </si>
  <si>
    <t>Bodova</t>
  </si>
  <si>
    <t>EKIPA</t>
  </si>
  <si>
    <t>Pojedinačni plasman</t>
  </si>
  <si>
    <t>sudaca koji su sačinjavali Sudački kolegij.</t>
  </si>
  <si>
    <t>SEKTOR A</t>
  </si>
  <si>
    <t>SEKTOR B</t>
  </si>
  <si>
    <t>SEKTOR C</t>
  </si>
  <si>
    <t>SEKTOR D</t>
  </si>
  <si>
    <t>SEKTOR E</t>
  </si>
  <si>
    <t>Pojedinačno :</t>
  </si>
  <si>
    <t>Ekipno :</t>
  </si>
  <si>
    <t>ANALIZA NATJECANJA</t>
  </si>
  <si>
    <t>Sudionici natjecanja:</t>
  </si>
  <si>
    <t>Statistika ulova:</t>
  </si>
  <si>
    <t>(mjesto i datum)</t>
  </si>
  <si>
    <t>Red. br.</t>
  </si>
  <si>
    <t>startni broj</t>
  </si>
  <si>
    <t>bodovi</t>
  </si>
  <si>
    <t>sektorski plasman</t>
  </si>
  <si>
    <t xml:space="preserve">zbroj sekt. plasmana </t>
  </si>
  <si>
    <t>ekipni plasman</t>
  </si>
  <si>
    <t>BODOVI</t>
  </si>
  <si>
    <t>POJED.PL.</t>
  </si>
  <si>
    <t>Vrhovni sudac :</t>
  </si>
  <si>
    <t>Delegat :</t>
  </si>
  <si>
    <t>DNEVNIK NATJECANJA</t>
  </si>
  <si>
    <t>"LOV RIBE UDICOM NA PLOVAK"</t>
  </si>
  <si>
    <t>Dnevnik natjecanja:</t>
  </si>
  <si>
    <t>Na vodi:</t>
  </si>
  <si>
    <t>dana:</t>
  </si>
  <si>
    <t>kategorija:</t>
  </si>
  <si>
    <t>Sektorskiplasman</t>
  </si>
  <si>
    <t>Bodova ekipno</t>
  </si>
  <si>
    <t>Delegat:</t>
  </si>
  <si>
    <t>Strana:</t>
  </si>
  <si>
    <t>pojed. plasman</t>
  </si>
  <si>
    <t>prezime       i ime</t>
  </si>
  <si>
    <t>EKIPNI PLASMAN</t>
  </si>
  <si>
    <t>red.izv.</t>
  </si>
  <si>
    <t>red. izv.</t>
  </si>
  <si>
    <t>Izračun</t>
  </si>
  <si>
    <t>Startni broj A sektora</t>
  </si>
  <si>
    <t>Startni broj A sektor</t>
  </si>
  <si>
    <t>natjecatelja,</t>
  </si>
  <si>
    <t>Redni broj A sektor</t>
  </si>
  <si>
    <t>Redni broj B sektor</t>
  </si>
  <si>
    <t>Redni broj C sektor</t>
  </si>
  <si>
    <t>Redni broj D sektor</t>
  </si>
  <si>
    <t>Redni broj E sektor</t>
  </si>
  <si>
    <t>Pojedin. plasman</t>
  </si>
  <si>
    <t>Tajnik:</t>
  </si>
  <si>
    <t>Tajnik :</t>
  </si>
  <si>
    <t>Tajnik natjecanja:</t>
  </si>
  <si>
    <t>Kazneni bod</t>
  </si>
  <si>
    <t>PROGLAŠENJE REZULTATA</t>
  </si>
  <si>
    <t>X</t>
  </si>
  <si>
    <t>HRVATSKI ŠPORTSKO</t>
  </si>
  <si>
    <t>RIBOLOVNI SAVEZ</t>
  </si>
  <si>
    <t>Prilog-Lov ribe 1.</t>
  </si>
  <si>
    <t>Hrvatski športsko</t>
  </si>
  <si>
    <t xml:space="preserve">  ribolovni savez</t>
  </si>
  <si>
    <t xml:space="preserve">  RED. IZVLAČ.</t>
  </si>
  <si>
    <t/>
  </si>
  <si>
    <t>KADETI</t>
  </si>
  <si>
    <t>KADETKINJE</t>
  </si>
  <si>
    <t>JUNIORI</t>
  </si>
  <si>
    <t>JUNIORKE</t>
  </si>
  <si>
    <t>SENIORKE</t>
  </si>
  <si>
    <t>bacačke discipline -TROBOJ</t>
  </si>
  <si>
    <t>bacačke discipline-PETOBOJ</t>
  </si>
  <si>
    <t>Sveukupan ulov natjecatelja na natjecanju:</t>
  </si>
  <si>
    <t>Najveći pojedinačni ulov natjecatelja:</t>
  </si>
  <si>
    <t>Najmanji pojedinačni ulov natjecatelja:</t>
  </si>
  <si>
    <t>Prosječan ulov natjecatelja:</t>
  </si>
  <si>
    <t>Broj natjecatelja bez ulova:</t>
  </si>
  <si>
    <t>Ukupan ulov sektora:</t>
  </si>
  <si>
    <t xml:space="preserve">Najveći ulov: </t>
  </si>
  <si>
    <t>Najmanji ulov:</t>
  </si>
  <si>
    <t>Prosječan ulov:</t>
  </si>
  <si>
    <t>Broj natj. bez ulova:</t>
  </si>
  <si>
    <t>Natjecanje:</t>
  </si>
  <si>
    <t>Mjesto i vrijeme održavanja:</t>
  </si>
  <si>
    <t>Organizator:</t>
  </si>
  <si>
    <t>Domaćin:</t>
  </si>
  <si>
    <t>Natjecateljska staza:</t>
  </si>
  <si>
    <t>Sektor A</t>
  </si>
  <si>
    <t>R. br.</t>
  </si>
  <si>
    <t>Bodova (g)</t>
  </si>
  <si>
    <t>St.broj</t>
  </si>
  <si>
    <t>Plasman</t>
  </si>
  <si>
    <t>Sektor B</t>
  </si>
  <si>
    <t>Sektor C</t>
  </si>
  <si>
    <t>Sektor D</t>
  </si>
  <si>
    <t>Sektor E</t>
  </si>
  <si>
    <t>R.br.</t>
  </si>
  <si>
    <t>E k i p a</t>
  </si>
  <si>
    <t>Ukupna težina (g)</t>
  </si>
  <si>
    <t>Najveća poj. težina (g)</t>
  </si>
  <si>
    <t>Sektorski pl.</t>
  </si>
  <si>
    <t>St. broj</t>
  </si>
  <si>
    <t>Sekt.plas.</t>
  </si>
  <si>
    <t>Ukupna težina</t>
  </si>
  <si>
    <t>Najveća poj. tež.</t>
  </si>
  <si>
    <t xml:space="preserve">EKIPA                        </t>
  </si>
  <si>
    <t xml:space="preserve">     Ekipa</t>
  </si>
  <si>
    <t>predsjedavajući</t>
  </si>
  <si>
    <t>AŽURIRANO:ožujak  2013.godine</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</si>
</sst>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0.0"/>
    <numFmt numFmtId="170" formatCode="00000\-0000"/>
    <numFmt numFmtId="171" formatCode="0.000000000"/>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
    <numFmt numFmtId="195" formatCode="&quot;€&quot;\ #,##0;\-&quot;€&quot;\ #,##0"/>
    <numFmt numFmtId="196" formatCode="&quot;€&quot;\ #,##0;[Red]\-&quot;€&quot;\ #,##0"/>
    <numFmt numFmtId="197" formatCode="&quot;€&quot;\ #,##0.00;\-&quot;€&quot;\ #,##0.00"/>
    <numFmt numFmtId="198" formatCode="&quot;€&quot;\ #,##0.00;[Red]\-&quot;€&quot;\ #,##0.00"/>
    <numFmt numFmtId="199" formatCode="_-&quot;€&quot;\ * #,##0_-;\-&quot;€&quot;\ * #,##0_-;_-&quot;€&quot;\ * &quot;-&quot;_-;_-@_-"/>
    <numFmt numFmtId="200" formatCode="_-&quot;€&quot;\ * #,##0.00_-;\-&quot;€&quot;\ * #,##0.00_-;_-&quot;€&quot;\ * &quot;-&quot;??_-;_-@_-"/>
  </numFmts>
  <fonts count="100">
    <font>
      <sz val="10"/>
      <name val="Arial"/>
      <family val="0"/>
    </font>
    <font>
      <u val="single"/>
      <sz val="10"/>
      <color indexed="36"/>
      <name val="Arial"/>
      <family val="0"/>
    </font>
    <font>
      <u val="single"/>
      <sz val="10"/>
      <color indexed="12"/>
      <name val="Arial"/>
      <family val="0"/>
    </font>
    <font>
      <sz val="8"/>
      <name val="Arial"/>
      <family val="0"/>
    </font>
    <font>
      <sz val="10"/>
      <color indexed="13"/>
      <name val="Arial"/>
      <family val="0"/>
    </font>
    <font>
      <sz val="12"/>
      <color indexed="13"/>
      <name val="Arial"/>
      <family val="0"/>
    </font>
    <font>
      <b/>
      <sz val="8"/>
      <name val="Arial"/>
      <family val="2"/>
    </font>
    <font>
      <sz val="10"/>
      <color indexed="10"/>
      <name val="Arial"/>
      <family val="0"/>
    </font>
    <font>
      <u val="single"/>
      <sz val="10"/>
      <name val="Arial"/>
      <family val="0"/>
    </font>
    <font>
      <sz val="14"/>
      <name val="Arial"/>
      <family val="0"/>
    </font>
    <font>
      <u val="single"/>
      <sz val="12"/>
      <name val="Arial"/>
      <family val="0"/>
    </font>
    <font>
      <b/>
      <sz val="10"/>
      <name val="Arial"/>
      <family val="2"/>
    </font>
    <font>
      <sz val="12"/>
      <name val="Arial"/>
      <family val="0"/>
    </font>
    <font>
      <sz val="9"/>
      <name val="Arial"/>
      <family val="0"/>
    </font>
    <font>
      <b/>
      <u val="single"/>
      <sz val="10"/>
      <name val="Arial"/>
      <family val="2"/>
    </font>
    <font>
      <b/>
      <sz val="8"/>
      <name val="Tahoma"/>
      <family val="0"/>
    </font>
    <font>
      <sz val="8"/>
      <name val="Tahoma"/>
      <family val="0"/>
    </font>
    <font>
      <b/>
      <sz val="14"/>
      <name val="Arial"/>
      <family val="2"/>
    </font>
    <font>
      <b/>
      <sz val="12"/>
      <name val="Arial"/>
      <family val="2"/>
    </font>
    <font>
      <u val="single"/>
      <sz val="14"/>
      <name val="Arial"/>
      <family val="0"/>
    </font>
    <font>
      <sz val="16"/>
      <name val="Arial"/>
      <family val="0"/>
    </font>
    <font>
      <sz val="18"/>
      <name val="Arial"/>
      <family val="0"/>
    </font>
    <font>
      <b/>
      <sz val="16"/>
      <name val="Arial"/>
      <family val="2"/>
    </font>
    <font>
      <b/>
      <sz val="20"/>
      <name val="Arial"/>
      <family val="2"/>
    </font>
    <font>
      <sz val="22"/>
      <name val="Arial"/>
      <family val="0"/>
    </font>
    <font>
      <sz val="20"/>
      <name val="Arial"/>
      <family val="0"/>
    </font>
    <font>
      <b/>
      <sz val="18"/>
      <name val="Arial"/>
      <family val="0"/>
    </font>
    <font>
      <i/>
      <sz val="26"/>
      <name val="Arial"/>
      <family val="2"/>
    </font>
    <font>
      <sz val="26"/>
      <name val="Arial"/>
      <family val="2"/>
    </font>
    <font>
      <u val="single"/>
      <sz val="22"/>
      <name val="Arial"/>
      <family val="0"/>
    </font>
    <font>
      <b/>
      <u val="single"/>
      <sz val="12"/>
      <name val="Arial"/>
      <family val="2"/>
    </font>
    <font>
      <i/>
      <sz val="16"/>
      <name val="Arial"/>
      <family val="2"/>
    </font>
    <font>
      <b/>
      <sz val="28"/>
      <name val="Arial"/>
      <family val="2"/>
    </font>
    <font>
      <sz val="8"/>
      <color indexed="9"/>
      <name val="Arial"/>
      <family val="0"/>
    </font>
    <font>
      <b/>
      <u val="single"/>
      <sz val="18"/>
      <name val="Arial"/>
      <family val="2"/>
    </font>
    <font>
      <b/>
      <sz val="20"/>
      <name val="Arial Black"/>
      <family val="2"/>
    </font>
    <font>
      <b/>
      <sz val="14"/>
      <name val="Arial Black"/>
      <family val="2"/>
    </font>
    <font>
      <b/>
      <sz val="20"/>
      <color indexed="10"/>
      <name val="Arial"/>
      <family val="2"/>
    </font>
    <font>
      <sz val="8"/>
      <color indexed="10"/>
      <name val="Arial"/>
      <family val="0"/>
    </font>
    <font>
      <sz val="10"/>
      <name val="Tahoma"/>
      <family val="2"/>
    </font>
    <font>
      <b/>
      <sz val="10"/>
      <name val="Tahoma"/>
      <family val="2"/>
    </font>
    <font>
      <b/>
      <sz val="10"/>
      <color indexed="10"/>
      <name val="Arial"/>
      <family val="2"/>
    </font>
    <font>
      <sz val="8"/>
      <color indexed="10"/>
      <name val="Tahoma"/>
      <family val="2"/>
    </font>
    <font>
      <b/>
      <sz val="10"/>
      <color indexed="10"/>
      <name val="Tahoma"/>
      <family val="2"/>
    </font>
    <font>
      <u val="single"/>
      <sz val="9"/>
      <name val="Tahoma"/>
      <family val="2"/>
    </font>
    <font>
      <u val="single"/>
      <sz val="9"/>
      <color indexed="10"/>
      <name val="Tahoma"/>
      <family val="2"/>
    </font>
    <font>
      <u val="single"/>
      <sz val="10"/>
      <color indexed="10"/>
      <name val="Tahoma"/>
      <family val="2"/>
    </font>
    <font>
      <sz val="10"/>
      <color indexed="10"/>
      <name val="Tahoma"/>
      <family val="2"/>
    </font>
    <font>
      <sz val="9"/>
      <name val="Tahoma"/>
      <family val="2"/>
    </font>
    <font>
      <b/>
      <sz val="8"/>
      <color indexed="10"/>
      <name val="Arial"/>
      <family val="2"/>
    </font>
    <font>
      <b/>
      <sz val="12"/>
      <name val="Tahoma"/>
      <family val="2"/>
    </font>
    <font>
      <sz val="12"/>
      <name val="Tahoma"/>
      <family val="2"/>
    </font>
    <font>
      <b/>
      <sz val="18"/>
      <name val="Tahoma"/>
      <family val="2"/>
    </font>
    <font>
      <sz val="18"/>
      <name val="Tahoma"/>
      <family val="2"/>
    </font>
    <font>
      <sz val="12"/>
      <color indexed="10"/>
      <name val="Arial"/>
      <family val="0"/>
    </font>
    <font>
      <sz val="8.75"/>
      <color indexed="8"/>
      <name val="Arial"/>
      <family val="0"/>
    </font>
    <font>
      <b/>
      <sz val="8.75"/>
      <color indexed="8"/>
      <name val="Arial"/>
      <family val="0"/>
    </font>
    <font>
      <sz val="8.05"/>
      <color indexed="8"/>
      <name val="Arial"/>
      <family val="0"/>
    </font>
    <font>
      <sz val="10"/>
      <color indexed="8"/>
      <name val="Arial"/>
      <family val="0"/>
    </font>
    <font>
      <b/>
      <sz val="10"/>
      <color indexed="8"/>
      <name val="Arial"/>
      <family val="0"/>
    </font>
    <font>
      <sz val="9.2"/>
      <color indexed="8"/>
      <name val="Arial"/>
      <family val="0"/>
    </font>
    <font>
      <sz val="16"/>
      <color indexed="8"/>
      <name val="Arial"/>
      <family val="0"/>
    </font>
    <font>
      <sz val="16.25"/>
      <color indexed="8"/>
      <name val="Arial"/>
      <family val="0"/>
    </font>
    <font>
      <sz val="14.7"/>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double"/>
      <right style="double"/>
      <top style="double"/>
      <bottom style="double"/>
    </border>
    <border>
      <left style="double"/>
      <right style="double"/>
      <top>
        <color indexed="63"/>
      </top>
      <bottom style="double"/>
    </border>
    <border>
      <left style="medium"/>
      <right style="thin"/>
      <top style="medium"/>
      <bottom style="thin"/>
    </border>
    <border>
      <left style="thin"/>
      <right style="thin"/>
      <top style="medium"/>
      <bottom style="thin"/>
    </border>
    <border>
      <left>
        <color indexed="63"/>
      </left>
      <right>
        <color indexed="63"/>
      </right>
      <top style="thin"/>
      <bottom style="medium"/>
    </border>
    <border>
      <left style="thin"/>
      <right style="thin"/>
      <top style="thin"/>
      <bottom style="medium"/>
    </border>
    <border>
      <left style="thin"/>
      <right>
        <color indexed="63"/>
      </right>
      <top style="thin"/>
      <bottom>
        <color indexed="63"/>
      </bottom>
    </border>
    <border>
      <left>
        <color indexed="63"/>
      </left>
      <right style="thin"/>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0" fillId="0" borderId="0">
      <alignment/>
      <protection/>
    </xf>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35">
    <xf numFmtId="0" fontId="0" fillId="0" borderId="0" xfId="0" applyAlignment="1">
      <alignment/>
    </xf>
    <xf numFmtId="0" fontId="4" fillId="33" borderId="0" xfId="0" applyFont="1" applyFill="1" applyAlignment="1">
      <alignment/>
    </xf>
    <xf numFmtId="0" fontId="4" fillId="33" borderId="0" xfId="0" applyFont="1" applyFill="1" applyAlignment="1">
      <alignment horizontal="center" vertical="center"/>
    </xf>
    <xf numFmtId="0" fontId="5" fillId="33" borderId="0" xfId="0" applyFont="1" applyFill="1" applyAlignment="1">
      <alignment/>
    </xf>
    <xf numFmtId="0" fontId="4" fillId="33" borderId="0" xfId="0" applyFont="1" applyFill="1" applyAlignment="1">
      <alignment horizontal="center"/>
    </xf>
    <xf numFmtId="0" fontId="5" fillId="33" borderId="0" xfId="0" applyFont="1" applyFill="1" applyAlignment="1">
      <alignment horizontal="center"/>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protection hidden="1" locked="0"/>
    </xf>
    <xf numFmtId="0" fontId="0" fillId="0" borderId="0" xfId="0" applyAlignment="1" applyProtection="1">
      <alignment/>
      <protection hidden="1" locked="0"/>
    </xf>
    <xf numFmtId="0" fontId="0" fillId="0" borderId="0" xfId="0" applyFont="1" applyAlignment="1" applyProtection="1">
      <alignment/>
      <protection hidden="1"/>
    </xf>
    <xf numFmtId="0" fontId="7" fillId="0" borderId="0" xfId="0" applyFont="1" applyAlignment="1" applyProtection="1">
      <alignment/>
      <protection hidden="1"/>
    </xf>
    <xf numFmtId="0" fontId="3" fillId="0" borderId="0" xfId="0" applyFont="1" applyAlignment="1">
      <alignment horizontal="center" vertical="center" wrapText="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Alignment="1" applyProtection="1">
      <alignment/>
      <protection hidden="1"/>
    </xf>
    <xf numFmtId="0" fontId="0" fillId="0" borderId="0" xfId="0" applyAlignment="1" applyProtection="1">
      <alignment/>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hidden="1"/>
    </xf>
    <xf numFmtId="0" fontId="10" fillId="0" borderId="0" xfId="0" applyFont="1" applyAlignment="1" applyProtection="1">
      <alignment horizontal="center"/>
      <protection hidden="1"/>
    </xf>
    <xf numFmtId="0" fontId="0" fillId="0" borderId="0" xfId="0" applyFont="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0" xfId="0" applyAlignment="1" applyProtection="1" quotePrefix="1">
      <alignment/>
      <protection hidden="1"/>
    </xf>
    <xf numFmtId="0" fontId="12" fillId="0" borderId="0" xfId="0" applyFont="1" applyAlignment="1" applyProtection="1">
      <alignment horizontal="center"/>
      <protection hidden="1"/>
    </xf>
    <xf numFmtId="0" fontId="9" fillId="0" borderId="0" xfId="0" applyFont="1" applyAlignment="1" applyProtection="1">
      <alignment horizontal="center"/>
      <protection hidden="1"/>
    </xf>
    <xf numFmtId="0" fontId="11" fillId="0" borderId="0" xfId="0" applyFont="1" applyAlignment="1" applyProtection="1">
      <alignment/>
      <protection hidden="1"/>
    </xf>
    <xf numFmtId="0" fontId="13" fillId="0" borderId="16" xfId="0" applyFont="1" applyBorder="1" applyAlignment="1" applyProtection="1">
      <alignment/>
      <protection hidden="1"/>
    </xf>
    <xf numFmtId="0" fontId="13" fillId="0" borderId="16" xfId="0" applyFont="1" applyBorder="1" applyAlignment="1" applyProtection="1">
      <alignment horizontal="center"/>
      <protection hidden="1"/>
    </xf>
    <xf numFmtId="0" fontId="13" fillId="0" borderId="0" xfId="0" applyFont="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13" fillId="0" borderId="21" xfId="0" applyFont="1" applyBorder="1" applyAlignment="1" applyProtection="1">
      <alignment/>
      <protection hidden="1"/>
    </xf>
    <xf numFmtId="0" fontId="13" fillId="0" borderId="22" xfId="0" applyFont="1" applyBorder="1" applyAlignment="1" applyProtection="1">
      <alignment horizontal="center"/>
      <protection hidden="1"/>
    </xf>
    <xf numFmtId="0" fontId="13" fillId="0" borderId="23" xfId="0" applyFont="1" applyBorder="1" applyAlignment="1" applyProtection="1">
      <alignment/>
      <protection hidden="1"/>
    </xf>
    <xf numFmtId="0" fontId="13" fillId="0" borderId="22" xfId="0" applyFont="1" applyBorder="1" applyAlignment="1" applyProtection="1">
      <alignment/>
      <protection hidden="1"/>
    </xf>
    <xf numFmtId="0" fontId="0" fillId="0" borderId="0" xfId="0" applyBorder="1" applyAlignment="1" applyProtection="1">
      <alignment horizontal="right"/>
      <protection hidden="1"/>
    </xf>
    <xf numFmtId="0" fontId="0" fillId="0" borderId="0" xfId="0" applyAlignment="1" applyProtection="1" quotePrefix="1">
      <alignment horizontal="center"/>
      <protection hidden="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0" borderId="0" xfId="0" applyAlignment="1">
      <alignment horizontal="center" vertical="center" wrapText="1"/>
    </xf>
    <xf numFmtId="0" fontId="0" fillId="0" borderId="0" xfId="0" applyFont="1" applyFill="1" applyAlignment="1" applyProtection="1">
      <alignment horizontal="center" vertical="center"/>
      <protection locked="0"/>
    </xf>
    <xf numFmtId="0" fontId="0" fillId="0" borderId="0" xfId="0" applyFill="1" applyAlignment="1">
      <alignment horizontal="center"/>
    </xf>
    <xf numFmtId="0" fontId="11"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11"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horizontal="center"/>
      <protection hidden="1" locked="0"/>
    </xf>
    <xf numFmtId="0" fontId="0" fillId="0" borderId="0" xfId="0" applyFont="1" applyAlignment="1" applyProtection="1">
      <alignment horizontal="center"/>
      <protection hidden="1"/>
    </xf>
    <xf numFmtId="0" fontId="11" fillId="0" borderId="0" xfId="0" applyFont="1" applyAlignment="1">
      <alignment/>
    </xf>
    <xf numFmtId="9" fontId="0" fillId="0" borderId="0" xfId="60" applyAlignment="1">
      <alignment/>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wrapText="1"/>
      <protection hidden="1"/>
    </xf>
    <xf numFmtId="3" fontId="11" fillId="0" borderId="0" xfId="0" applyNumberFormat="1" applyFont="1" applyAlignment="1" applyProtection="1">
      <alignment/>
      <protection hidden="1"/>
    </xf>
    <xf numFmtId="3" fontId="0" fillId="0" borderId="0" xfId="0" applyNumberFormat="1" applyAlignment="1" applyProtection="1">
      <alignment/>
      <protection hidden="1"/>
    </xf>
    <xf numFmtId="0" fontId="12" fillId="0" borderId="0" xfId="0" applyFont="1" applyAlignment="1" applyProtection="1">
      <alignment/>
      <protection hidden="1"/>
    </xf>
    <xf numFmtId="0" fontId="12" fillId="0" borderId="16" xfId="0" applyFont="1" applyBorder="1" applyAlignment="1" applyProtection="1">
      <alignment/>
      <protection hidden="1"/>
    </xf>
    <xf numFmtId="0" fontId="0" fillId="0" borderId="0" xfId="0" applyFont="1" applyFill="1" applyAlignment="1" applyProtection="1">
      <alignment horizontal="center"/>
      <protection hidden="1"/>
    </xf>
    <xf numFmtId="0" fontId="12" fillId="0" borderId="0" xfId="0" applyFont="1" applyFill="1" applyBorder="1" applyAlignment="1" applyProtection="1">
      <alignment/>
      <protection hidden="1"/>
    </xf>
    <xf numFmtId="0" fontId="3" fillId="0" borderId="0" xfId="0" applyFont="1" applyAlignment="1" applyProtection="1">
      <alignment/>
      <protection hidden="1"/>
    </xf>
    <xf numFmtId="0" fontId="0" fillId="0" borderId="0" xfId="0" applyFont="1" applyFill="1" applyAlignment="1" applyProtection="1">
      <alignment/>
      <protection hidden="1"/>
    </xf>
    <xf numFmtId="0" fontId="3"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3" fillId="0" borderId="0" xfId="0" applyFont="1" applyFill="1" applyAlignment="1" applyProtection="1">
      <alignment/>
      <protection/>
    </xf>
    <xf numFmtId="0" fontId="11" fillId="0" borderId="0" xfId="0" applyFont="1" applyAlignment="1">
      <alignment horizontal="center"/>
    </xf>
    <xf numFmtId="0" fontId="11" fillId="0" borderId="0" xfId="0" applyFont="1" applyAlignment="1">
      <alignment horizontal="center" vertical="center"/>
    </xf>
    <xf numFmtId="0" fontId="17" fillId="0" borderId="0" xfId="0" applyFont="1" applyAlignment="1" applyProtection="1">
      <alignment horizontal="left"/>
      <protection hidden="1"/>
    </xf>
    <xf numFmtId="0" fontId="17" fillId="0" borderId="0" xfId="0" applyFont="1" applyAlignment="1" applyProtection="1">
      <alignment/>
      <protection hidden="1"/>
    </xf>
    <xf numFmtId="0" fontId="17" fillId="0" borderId="0" xfId="0" applyFont="1" applyAlignment="1" applyProtection="1">
      <alignment horizontal="center"/>
      <protection hidden="1"/>
    </xf>
    <xf numFmtId="0" fontId="0" fillId="0" borderId="0" xfId="0" applyFont="1" applyAlignment="1" applyProtection="1">
      <alignment/>
      <protection hidden="1"/>
    </xf>
    <xf numFmtId="0" fontId="18" fillId="0" borderId="0" xfId="0" applyFont="1" applyAlignment="1" applyProtection="1">
      <alignment/>
      <protection hidden="1"/>
    </xf>
    <xf numFmtId="0" fontId="0" fillId="0" borderId="16" xfId="0"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8" fillId="0" borderId="21" xfId="0" applyFont="1" applyBorder="1" applyAlignment="1" applyProtection="1">
      <alignment horizontal="center"/>
      <protection hidden="1"/>
    </xf>
    <xf numFmtId="0" fontId="12" fillId="0" borderId="16" xfId="0" applyFont="1" applyBorder="1" applyAlignment="1" applyProtection="1">
      <alignment/>
      <protection hidden="1"/>
    </xf>
    <xf numFmtId="0" fontId="12" fillId="0" borderId="19" xfId="0" applyFont="1" applyBorder="1" applyAlignment="1" applyProtection="1">
      <alignment horizontal="center"/>
      <protection hidden="1"/>
    </xf>
    <xf numFmtId="0" fontId="12" fillId="0" borderId="0" xfId="0" applyFont="1" applyBorder="1" applyAlignment="1" applyProtection="1">
      <alignment/>
      <protection hidden="1"/>
    </xf>
    <xf numFmtId="0" fontId="12" fillId="0" borderId="12" xfId="0" applyFont="1" applyBorder="1" applyAlignment="1" applyProtection="1">
      <alignment/>
      <protection hidden="1"/>
    </xf>
    <xf numFmtId="0" fontId="12" fillId="0" borderId="12" xfId="0" applyFont="1" applyBorder="1" applyAlignment="1" applyProtection="1">
      <alignment horizontal="center"/>
      <protection hidden="1"/>
    </xf>
    <xf numFmtId="0" fontId="24" fillId="0" borderId="0" xfId="0" applyFont="1" applyAlignment="1" applyProtection="1">
      <alignment horizontal="center"/>
      <protection hidden="1"/>
    </xf>
    <xf numFmtId="0" fontId="21" fillId="0" borderId="13" xfId="0" applyFont="1" applyBorder="1" applyAlignment="1" applyProtection="1">
      <alignment horizontal="justify" vertical="center"/>
      <protection hidden="1"/>
    </xf>
    <xf numFmtId="0" fontId="20" fillId="0" borderId="20" xfId="0" applyFont="1" applyFill="1" applyBorder="1" applyAlignment="1" applyProtection="1">
      <alignment horizontal="center" vertical="center"/>
      <protection hidden="1"/>
    </xf>
    <xf numFmtId="0" fontId="18" fillId="0" borderId="0"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0" fillId="0" borderId="0" xfId="0" applyFont="1" applyAlignment="1" applyProtection="1">
      <alignment horizontal="center"/>
      <protection hidden="1"/>
    </xf>
    <xf numFmtId="0" fontId="0" fillId="0" borderId="0" xfId="0" applyFill="1" applyAlignment="1" applyProtection="1">
      <alignment horizontal="center" vertical="center" wrapText="1"/>
      <protection hidden="1"/>
    </xf>
    <xf numFmtId="0" fontId="27" fillId="0" borderId="0" xfId="0" applyFont="1" applyFill="1" applyBorder="1" applyAlignment="1" applyProtection="1">
      <alignment horizontal="center"/>
      <protection hidden="1"/>
    </xf>
    <xf numFmtId="0" fontId="28" fillId="0" borderId="0" xfId="0" applyFont="1" applyAlignment="1" applyProtection="1">
      <alignment/>
      <protection hidden="1"/>
    </xf>
    <xf numFmtId="0" fontId="28" fillId="0" borderId="0" xfId="0" applyFont="1" applyFill="1" applyBorder="1" applyAlignment="1" applyProtection="1">
      <alignment/>
      <protection hidden="1"/>
    </xf>
    <xf numFmtId="0" fontId="28" fillId="0" borderId="0" xfId="0" applyFont="1" applyBorder="1" applyAlignment="1" applyProtection="1">
      <alignment/>
      <protection hidden="1"/>
    </xf>
    <xf numFmtId="0" fontId="18" fillId="0" borderId="0" xfId="0" applyFont="1" applyAlignment="1" applyProtection="1">
      <alignment horizontal="center"/>
      <protection hidden="1"/>
    </xf>
    <xf numFmtId="0" fontId="12" fillId="0" borderId="16" xfId="0" applyFont="1" applyBorder="1" applyAlignment="1" applyProtection="1">
      <alignment horizontal="center"/>
      <protection hidden="1"/>
    </xf>
    <xf numFmtId="0" fontId="22" fillId="0" borderId="0" xfId="0" applyFont="1" applyAlignment="1" applyProtection="1">
      <alignment horizontal="left"/>
      <protection hidden="1"/>
    </xf>
    <xf numFmtId="0" fontId="22" fillId="0" borderId="0" xfId="0" applyFont="1" applyAlignment="1" applyProtection="1">
      <alignment/>
      <protection hidden="1"/>
    </xf>
    <xf numFmtId="0" fontId="22" fillId="0" borderId="0" xfId="0" applyFont="1" applyAlignment="1" applyProtection="1">
      <alignment horizontal="center"/>
      <protection hidden="1"/>
    </xf>
    <xf numFmtId="0" fontId="20" fillId="0" borderId="0" xfId="0" applyFont="1" applyAlignment="1" applyProtection="1">
      <alignment/>
      <protection hidden="1"/>
    </xf>
    <xf numFmtId="0" fontId="9" fillId="0" borderId="0" xfId="0" applyFont="1" applyAlignment="1" applyProtection="1">
      <alignment/>
      <protection hidden="1"/>
    </xf>
    <xf numFmtId="0" fontId="17" fillId="0" borderId="0" xfId="0" applyFont="1" applyAlignment="1" applyProtection="1">
      <alignment/>
      <protection hidden="1"/>
    </xf>
    <xf numFmtId="0" fontId="20" fillId="0" borderId="20" xfId="0" applyFont="1" applyFill="1" applyBorder="1" applyAlignment="1" applyProtection="1">
      <alignment horizontal="right" vertical="center"/>
      <protection hidden="1"/>
    </xf>
    <xf numFmtId="0" fontId="20" fillId="0" borderId="13" xfId="0" applyFont="1" applyFill="1" applyBorder="1" applyAlignment="1" applyProtection="1">
      <alignment horizontal="right" vertical="center"/>
      <protection hidden="1"/>
    </xf>
    <xf numFmtId="0" fontId="29" fillId="0" borderId="0" xfId="0" applyFont="1" applyAlignment="1" applyProtection="1">
      <alignment horizontal="center"/>
      <protection hidden="1"/>
    </xf>
    <xf numFmtId="0" fontId="24" fillId="0" borderId="0" xfId="0" applyFont="1" applyAlignment="1" applyProtection="1">
      <alignment/>
      <protection hidden="1"/>
    </xf>
    <xf numFmtId="0" fontId="25" fillId="0" borderId="0" xfId="0" applyFont="1" applyAlignment="1" applyProtection="1">
      <alignment/>
      <protection hidden="1"/>
    </xf>
    <xf numFmtId="0" fontId="20" fillId="0" borderId="24" xfId="0" applyFont="1" applyFill="1" applyBorder="1" applyAlignment="1" applyProtection="1">
      <alignment horizontal="right" vertical="center"/>
      <protection hidden="1"/>
    </xf>
    <xf numFmtId="0" fontId="12" fillId="0" borderId="22" xfId="0" applyFont="1" applyFill="1" applyBorder="1" applyAlignment="1" applyProtection="1">
      <alignment/>
      <protection hidden="1"/>
    </xf>
    <xf numFmtId="0" fontId="12" fillId="0" borderId="16" xfId="0" applyFont="1" applyBorder="1" applyAlignment="1" applyProtection="1">
      <alignment horizontal="right"/>
      <protection hidden="1"/>
    </xf>
    <xf numFmtId="0" fontId="12" fillId="0" borderId="0" xfId="0" applyFont="1" applyAlignment="1" applyProtection="1">
      <alignment/>
      <protection hidden="1"/>
    </xf>
    <xf numFmtId="169" fontId="18" fillId="0" borderId="0" xfId="0" applyNumberFormat="1" applyFont="1" applyAlignment="1" applyProtection="1">
      <alignment/>
      <protection hidden="1"/>
    </xf>
    <xf numFmtId="0" fontId="0" fillId="0" borderId="15" xfId="0" applyFill="1" applyBorder="1" applyAlignment="1" applyProtection="1">
      <alignment/>
      <protection hidden="1"/>
    </xf>
    <xf numFmtId="0" fontId="0" fillId="0" borderId="0" xfId="0" applyAlignment="1" applyProtection="1">
      <alignment horizontal="center"/>
      <protection hidden="1" locked="0"/>
    </xf>
    <xf numFmtId="0" fontId="18" fillId="0" borderId="0" xfId="0" applyFont="1" applyAlignment="1" applyProtection="1">
      <alignment horizontal="right"/>
      <protection hidden="1"/>
    </xf>
    <xf numFmtId="0" fontId="12" fillId="0" borderId="16" xfId="0" applyFont="1" applyBorder="1" applyAlignment="1" applyProtection="1">
      <alignment horizontal="right"/>
      <protection hidden="1"/>
    </xf>
    <xf numFmtId="0" fontId="12" fillId="0" borderId="0" xfId="0" applyFont="1" applyAlignment="1" applyProtection="1">
      <alignment horizontal="right"/>
      <protection hidden="1"/>
    </xf>
    <xf numFmtId="0" fontId="12" fillId="0" borderId="0" xfId="0" applyFont="1" applyAlignment="1" applyProtection="1">
      <alignment horizontal="center"/>
      <protection hidden="1"/>
    </xf>
    <xf numFmtId="0" fontId="31" fillId="0" borderId="0" xfId="0" applyFont="1" applyFill="1" applyBorder="1" applyAlignment="1" applyProtection="1">
      <alignment horizontal="center"/>
      <protection hidden="1"/>
    </xf>
    <xf numFmtId="0" fontId="20" fillId="0" borderId="0" xfId="0" applyFont="1" applyFill="1" applyBorder="1" applyAlignment="1" applyProtection="1">
      <alignment/>
      <protection hidden="1"/>
    </xf>
    <xf numFmtId="0" fontId="20" fillId="0" borderId="0" xfId="0" applyFont="1" applyAlignment="1" applyProtection="1">
      <alignment horizontal="center"/>
      <protection hidden="1"/>
    </xf>
    <xf numFmtId="0" fontId="20" fillId="0" borderId="0" xfId="0" applyFont="1" applyAlignment="1" applyProtection="1">
      <alignment/>
      <protection hidden="1"/>
    </xf>
    <xf numFmtId="0" fontId="17" fillId="34" borderId="16" xfId="0" applyFont="1" applyFill="1" applyBorder="1" applyAlignment="1" applyProtection="1">
      <alignment horizontal="right"/>
      <protection hidden="1"/>
    </xf>
    <xf numFmtId="0" fontId="0" fillId="0" borderId="0" xfId="0" applyFont="1" applyFill="1" applyAlignment="1" applyProtection="1">
      <alignment horizontal="center" vertical="center" wrapText="1"/>
      <protection locked="0"/>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32" fillId="0" borderId="0" xfId="0" applyFont="1" applyAlignment="1" applyProtection="1">
      <alignment horizontal="center"/>
      <protection hidden="1"/>
    </xf>
    <xf numFmtId="0" fontId="29" fillId="0" borderId="0" xfId="0" applyFont="1" applyAlignment="1" applyProtection="1">
      <alignment horizontal="center"/>
      <protection hidden="1"/>
    </xf>
    <xf numFmtId="0" fontId="34" fillId="0" borderId="0" xfId="0" applyFont="1" applyAlignment="1" applyProtection="1">
      <alignment horizontal="left"/>
      <protection hidden="1"/>
    </xf>
    <xf numFmtId="0" fontId="0" fillId="35" borderId="22" xfId="0" applyFill="1" applyBorder="1" applyAlignment="1" applyProtection="1">
      <alignment horizontal="center" vertical="center"/>
      <protection hidden="1"/>
    </xf>
    <xf numFmtId="0" fontId="6" fillId="35" borderId="22" xfId="0" applyFont="1" applyFill="1" applyBorder="1" applyAlignment="1" applyProtection="1">
      <alignment horizontal="center" vertical="center" wrapText="1"/>
      <protection/>
    </xf>
    <xf numFmtId="0" fontId="7" fillId="35" borderId="0" xfId="0" applyFont="1" applyFill="1" applyAlignment="1">
      <alignment horizontal="center"/>
    </xf>
    <xf numFmtId="0" fontId="35" fillId="0" borderId="0" xfId="0" applyFont="1" applyAlignment="1" applyProtection="1">
      <alignment horizontal="center"/>
      <protection hidden="1"/>
    </xf>
    <xf numFmtId="0" fontId="36" fillId="0" borderId="0" xfId="0" applyFont="1" applyAlignment="1" applyProtection="1">
      <alignment horizontal="center"/>
      <protection hidden="1"/>
    </xf>
    <xf numFmtId="0" fontId="0" fillId="35" borderId="22" xfId="0" applyFill="1" applyBorder="1" applyAlignment="1" applyProtection="1">
      <alignment horizontal="center" vertical="center" wrapText="1"/>
      <protection/>
    </xf>
    <xf numFmtId="0" fontId="0" fillId="35" borderId="22" xfId="0"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protection hidden="1"/>
    </xf>
    <xf numFmtId="0" fontId="23" fillId="0" borderId="24" xfId="0" applyFont="1" applyFill="1" applyBorder="1" applyAlignment="1" applyProtection="1">
      <alignment horizontal="center" vertical="center"/>
      <protection hidden="1"/>
    </xf>
    <xf numFmtId="0" fontId="20" fillId="0" borderId="26" xfId="0" applyFont="1" applyFill="1" applyBorder="1" applyAlignment="1" applyProtection="1">
      <alignment horizontal="center" vertical="center"/>
      <protection hidden="1"/>
    </xf>
    <xf numFmtId="0" fontId="20" fillId="0" borderId="26" xfId="0" applyFont="1" applyFill="1" applyBorder="1" applyAlignment="1" applyProtection="1">
      <alignment horizontal="right" vertical="center"/>
      <protection hidden="1"/>
    </xf>
    <xf numFmtId="0" fontId="21" fillId="0" borderId="27" xfId="0" applyFont="1" applyBorder="1" applyAlignment="1" applyProtection="1">
      <alignment horizontal="justify" vertical="center"/>
      <protection hidden="1"/>
    </xf>
    <xf numFmtId="0" fontId="20" fillId="0" borderId="27" xfId="0" applyFont="1" applyFill="1" applyBorder="1" applyAlignment="1" applyProtection="1">
      <alignment horizontal="right" vertical="center"/>
      <protection hidden="1"/>
    </xf>
    <xf numFmtId="0" fontId="20" fillId="0" borderId="28" xfId="0" applyFont="1" applyFill="1" applyBorder="1" applyAlignment="1" applyProtection="1">
      <alignment horizontal="right" vertical="center"/>
      <protection hidden="1"/>
    </xf>
    <xf numFmtId="0" fontId="23" fillId="0" borderId="28" xfId="0" applyFont="1" applyFill="1" applyBorder="1" applyAlignment="1" applyProtection="1">
      <alignment horizontal="center" vertical="center"/>
      <protection hidden="1"/>
    </xf>
    <xf numFmtId="0" fontId="20" fillId="0" borderId="15" xfId="0" applyFont="1" applyFill="1" applyBorder="1" applyAlignment="1" applyProtection="1">
      <alignment horizontal="right" vertical="center"/>
      <protection hidden="1"/>
    </xf>
    <xf numFmtId="0" fontId="20" fillId="0" borderId="29" xfId="0" applyFont="1" applyFill="1" applyBorder="1" applyAlignment="1" applyProtection="1">
      <alignment horizontal="right" vertical="center"/>
      <protection hidden="1"/>
    </xf>
    <xf numFmtId="0" fontId="21" fillId="0" borderId="25" xfId="0" applyFont="1" applyBorder="1" applyAlignment="1" applyProtection="1">
      <alignment horizontal="justify" vertical="center"/>
      <protection hidden="1"/>
    </xf>
    <xf numFmtId="0" fontId="20" fillId="0" borderId="30" xfId="0" applyFont="1" applyFill="1" applyBorder="1" applyAlignment="1" applyProtection="1">
      <alignment horizontal="right" vertical="center"/>
      <protection hidden="1"/>
    </xf>
    <xf numFmtId="0" fontId="21" fillId="0" borderId="31" xfId="0" applyFont="1" applyBorder="1" applyAlignment="1" applyProtection="1">
      <alignment horizontal="justify" vertical="center"/>
      <protection hidden="1"/>
    </xf>
    <xf numFmtId="0" fontId="20" fillId="0" borderId="32" xfId="0" applyFont="1" applyFill="1" applyBorder="1" applyAlignment="1" applyProtection="1">
      <alignment horizontal="right" vertical="center"/>
      <protection hidden="1"/>
    </xf>
    <xf numFmtId="0" fontId="21" fillId="0" borderId="21" xfId="0" applyFont="1" applyBorder="1" applyAlignment="1" applyProtection="1">
      <alignment horizontal="justify" vertical="center"/>
      <protection hidden="1"/>
    </xf>
    <xf numFmtId="0" fontId="21" fillId="0" borderId="33" xfId="0" applyFont="1" applyBorder="1" applyAlignment="1" applyProtection="1">
      <alignment horizontal="justify" vertical="center"/>
      <protection hidden="1"/>
    </xf>
    <xf numFmtId="0" fontId="21" fillId="0" borderId="34" xfId="0" applyNumberFormat="1" applyFont="1" applyBorder="1" applyAlignment="1" applyProtection="1">
      <alignment horizontal="justify" vertical="center"/>
      <protection hidden="1"/>
    </xf>
    <xf numFmtId="0" fontId="21" fillId="0" borderId="35" xfId="0" applyNumberFormat="1" applyFont="1" applyBorder="1" applyAlignment="1" applyProtection="1">
      <alignment horizontal="justify" vertical="center"/>
      <protection hidden="1"/>
    </xf>
    <xf numFmtId="0" fontId="21" fillId="0" borderId="14" xfId="0" applyFont="1" applyBorder="1" applyAlignment="1" applyProtection="1">
      <alignment horizontal="justify" vertical="center"/>
      <protection hidden="1"/>
    </xf>
    <xf numFmtId="0" fontId="21" fillId="0" borderId="25" xfId="0" applyNumberFormat="1" applyFont="1" applyBorder="1" applyAlignment="1" applyProtection="1">
      <alignment horizontal="justify" vertical="center"/>
      <protection hidden="1"/>
    </xf>
    <xf numFmtId="0" fontId="0" fillId="0" borderId="36"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18" fillId="0" borderId="33" xfId="0" applyFont="1" applyBorder="1" applyAlignment="1" applyProtection="1">
      <alignment horizontal="center"/>
      <protection hidden="1"/>
    </xf>
    <xf numFmtId="0" fontId="20" fillId="36" borderId="38" xfId="0" applyFont="1" applyFill="1" applyBorder="1" applyAlignment="1" applyProtection="1">
      <alignment horizontal="center" vertical="center" shrinkToFit="1"/>
      <protection locked="0"/>
    </xf>
    <xf numFmtId="0" fontId="12" fillId="36" borderId="38" xfId="0" applyFont="1" applyFill="1" applyBorder="1" applyAlignment="1" applyProtection="1">
      <alignment horizontal="center" vertical="center" shrinkToFit="1"/>
      <protection locked="0"/>
    </xf>
    <xf numFmtId="0" fontId="12" fillId="36" borderId="39" xfId="0" applyFont="1" applyFill="1" applyBorder="1" applyAlignment="1" applyProtection="1">
      <alignment horizontal="center" vertical="center" shrinkToFit="1"/>
      <protection locked="0"/>
    </xf>
    <xf numFmtId="0" fontId="6" fillId="35" borderId="22" xfId="0" applyFont="1" applyFill="1" applyBorder="1" applyAlignment="1" applyProtection="1">
      <alignment horizontal="left" vertical="center" wrapText="1"/>
      <protection/>
    </xf>
    <xf numFmtId="0" fontId="6" fillId="37" borderId="22" xfId="0" applyFont="1" applyFill="1" applyBorder="1" applyAlignment="1" applyProtection="1">
      <alignment horizontal="center" vertical="center" wrapText="1"/>
      <protection/>
    </xf>
    <xf numFmtId="0" fontId="0" fillId="0" borderId="0" xfId="0" applyAlignment="1">
      <alignment vertical="center" wrapText="1"/>
    </xf>
    <xf numFmtId="0" fontId="22" fillId="0" borderId="0" xfId="0" applyFont="1" applyAlignment="1" applyProtection="1">
      <alignment/>
      <protection hidden="1"/>
    </xf>
    <xf numFmtId="0" fontId="17" fillId="0" borderId="0" xfId="0" applyFont="1" applyAlignment="1" applyProtection="1">
      <alignment horizontal="right"/>
      <protection hidden="1"/>
    </xf>
    <xf numFmtId="0" fontId="9" fillId="0" borderId="40" xfId="0" applyFont="1" applyBorder="1" applyAlignment="1" applyProtection="1">
      <alignment horizontal="center" vertical="center" shrinkToFit="1"/>
      <protection hidden="1"/>
    </xf>
    <xf numFmtId="0" fontId="9" fillId="0" borderId="41" xfId="0" applyFont="1" applyBorder="1" applyAlignment="1" applyProtection="1">
      <alignment horizontal="left" vertical="center" shrinkToFit="1"/>
      <protection hidden="1"/>
    </xf>
    <xf numFmtId="0" fontId="9" fillId="0" borderId="41" xfId="0" applyFont="1" applyBorder="1" applyAlignment="1" applyProtection="1">
      <alignment horizontal="center" vertical="center" shrinkToFit="1"/>
      <protection hidden="1"/>
    </xf>
    <xf numFmtId="0" fontId="9" fillId="0" borderId="41" xfId="0" applyFont="1" applyBorder="1" applyAlignment="1" applyProtection="1">
      <alignment vertical="center" shrinkToFit="1"/>
      <protection hidden="1"/>
    </xf>
    <xf numFmtId="0" fontId="9" fillId="0" borderId="41" xfId="0" applyFont="1" applyBorder="1" applyAlignment="1" applyProtection="1">
      <alignment horizontal="right" vertical="center" shrinkToFit="1"/>
      <protection hidden="1"/>
    </xf>
    <xf numFmtId="0" fontId="9" fillId="0" borderId="34" xfId="0" applyFont="1" applyBorder="1" applyAlignment="1" applyProtection="1">
      <alignment horizontal="center" vertical="center" shrinkToFit="1"/>
      <protection hidden="1"/>
    </xf>
    <xf numFmtId="0" fontId="9" fillId="0" borderId="16" xfId="0" applyFont="1" applyBorder="1" applyAlignment="1" applyProtection="1">
      <alignment horizontal="left" vertical="center" shrinkToFit="1"/>
      <protection hidden="1"/>
    </xf>
    <xf numFmtId="0" fontId="9" fillId="0" borderId="16" xfId="0" applyFont="1" applyBorder="1" applyAlignment="1" applyProtection="1">
      <alignment horizontal="center" vertical="center" shrinkToFit="1"/>
      <protection hidden="1"/>
    </xf>
    <xf numFmtId="0" fontId="9" fillId="0" borderId="16" xfId="0" applyFont="1" applyBorder="1" applyAlignment="1" applyProtection="1">
      <alignment vertical="center" shrinkToFit="1"/>
      <protection hidden="1"/>
    </xf>
    <xf numFmtId="0" fontId="9" fillId="0" borderId="16" xfId="0" applyFont="1" applyBorder="1" applyAlignment="1" applyProtection="1">
      <alignment horizontal="right" vertical="center" shrinkToFit="1"/>
      <protection hidden="1"/>
    </xf>
    <xf numFmtId="0" fontId="9" fillId="0" borderId="42" xfId="0" applyFont="1" applyFill="1" applyBorder="1" applyAlignment="1" applyProtection="1">
      <alignment vertical="center" shrinkToFit="1"/>
      <protection hidden="1"/>
    </xf>
    <xf numFmtId="0" fontId="20" fillId="0" borderId="0" xfId="0" applyFont="1" applyAlignment="1" applyProtection="1">
      <alignment horizontal="center"/>
      <protection hidden="1"/>
    </xf>
    <xf numFmtId="0" fontId="12" fillId="0" borderId="37" xfId="0" applyFont="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49" fillId="37" borderId="22"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wrapText="1"/>
      <protection hidden="1"/>
    </xf>
    <xf numFmtId="0" fontId="0" fillId="35" borderId="22" xfId="0" applyFill="1" applyBorder="1" applyAlignment="1" applyProtection="1">
      <alignment/>
      <protection hidden="1"/>
    </xf>
    <xf numFmtId="0" fontId="12" fillId="0" borderId="0" xfId="0" applyFont="1" applyAlignment="1" applyProtection="1">
      <alignment/>
      <protection hidden="1"/>
    </xf>
    <xf numFmtId="0" fontId="20" fillId="0" borderId="43" xfId="0" applyFont="1" applyFill="1" applyBorder="1" applyAlignment="1" applyProtection="1">
      <alignment horizontal="right" vertical="center"/>
      <protection hidden="1"/>
    </xf>
    <xf numFmtId="0" fontId="0" fillId="0" borderId="0" xfId="58" applyProtection="1">
      <alignment/>
      <protection hidden="1"/>
    </xf>
    <xf numFmtId="0" fontId="0" fillId="0" borderId="0" xfId="58" applyAlignment="1" applyProtection="1">
      <alignment/>
      <protection hidden="1"/>
    </xf>
    <xf numFmtId="0" fontId="0" fillId="0" borderId="0" xfId="58" applyAlignment="1" applyProtection="1">
      <alignment horizontal="center"/>
      <protection hidden="1"/>
    </xf>
    <xf numFmtId="0" fontId="0" fillId="0" borderId="0" xfId="58">
      <alignment/>
      <protection/>
    </xf>
    <xf numFmtId="0" fontId="0" fillId="0" borderId="0" xfId="58" applyAlignment="1" applyProtection="1">
      <alignment horizontal="left"/>
      <protection hidden="1"/>
    </xf>
    <xf numFmtId="0" fontId="3" fillId="0" borderId="0" xfId="58" applyFont="1" applyAlignment="1" applyProtection="1">
      <alignment horizontal="center"/>
      <protection hidden="1"/>
    </xf>
    <xf numFmtId="0" fontId="0" fillId="0" borderId="0" xfId="58" applyFill="1" applyProtection="1">
      <alignment/>
      <protection hidden="1"/>
    </xf>
    <xf numFmtId="0" fontId="11" fillId="0" borderId="0" xfId="58" applyFont="1" applyProtection="1">
      <alignment/>
      <protection hidden="1"/>
    </xf>
    <xf numFmtId="0" fontId="11" fillId="0" borderId="0" xfId="58" applyFont="1" applyAlignment="1" applyProtection="1">
      <alignment/>
      <protection hidden="1"/>
    </xf>
    <xf numFmtId="0" fontId="11" fillId="0" borderId="0" xfId="58" applyFont="1">
      <alignment/>
      <protection/>
    </xf>
    <xf numFmtId="0" fontId="17" fillId="0" borderId="0" xfId="58" applyFont="1" applyAlignment="1" applyProtection="1">
      <alignment horizontal="center"/>
      <protection hidden="1"/>
    </xf>
    <xf numFmtId="0" fontId="0" fillId="0" borderId="16" xfId="58" applyBorder="1" applyAlignment="1" applyProtection="1">
      <alignment horizontal="center" vertical="center"/>
      <protection hidden="1"/>
    </xf>
    <xf numFmtId="0" fontId="0" fillId="0" borderId="0" xfId="58" applyAlignment="1">
      <alignment horizontal="center" vertical="center"/>
      <protection/>
    </xf>
    <xf numFmtId="0" fontId="0" fillId="0" borderId="16" xfId="58" applyBorder="1" applyAlignment="1" applyProtection="1">
      <alignment horizontal="center"/>
      <protection hidden="1"/>
    </xf>
    <xf numFmtId="0" fontId="0" fillId="0" borderId="15" xfId="58" applyBorder="1" applyAlignment="1" applyProtection="1">
      <alignment horizontal="center"/>
      <protection hidden="1"/>
    </xf>
    <xf numFmtId="0" fontId="0" fillId="0" borderId="0" xfId="58" applyBorder="1" applyProtection="1">
      <alignment/>
      <protection hidden="1"/>
    </xf>
    <xf numFmtId="0" fontId="12" fillId="0" borderId="0" xfId="58" applyFont="1" applyBorder="1" applyAlignment="1" applyProtection="1">
      <alignment horizontal="center"/>
      <protection hidden="1"/>
    </xf>
    <xf numFmtId="0" fontId="0" fillId="0" borderId="22" xfId="58" applyBorder="1" applyAlignment="1" applyProtection="1">
      <alignment horizontal="center"/>
      <protection hidden="1"/>
    </xf>
    <xf numFmtId="0" fontId="0" fillId="0" borderId="16" xfId="58" applyBorder="1" applyAlignment="1" applyProtection="1">
      <alignment horizontal="center" vertical="center" wrapText="1"/>
      <protection hidden="1"/>
    </xf>
    <xf numFmtId="0" fontId="12" fillId="0" borderId="23" xfId="58" applyFont="1" applyBorder="1" applyAlignment="1" applyProtection="1">
      <alignment horizontal="center" vertical="center"/>
      <protection hidden="1"/>
    </xf>
    <xf numFmtId="0" fontId="0" fillId="0" borderId="0" xfId="58" applyBorder="1" applyAlignment="1" applyProtection="1">
      <alignment horizontal="center" vertical="center" wrapText="1"/>
      <protection hidden="1"/>
    </xf>
    <xf numFmtId="0" fontId="12" fillId="0" borderId="0" xfId="58" applyFont="1" applyBorder="1" applyAlignment="1" applyProtection="1">
      <alignment/>
      <protection hidden="1"/>
    </xf>
    <xf numFmtId="0" fontId="12" fillId="0" borderId="0" xfId="58" applyFont="1" applyBorder="1" applyAlignment="1" applyProtection="1">
      <alignment horizontal="center" vertical="center"/>
      <protection hidden="1"/>
    </xf>
    <xf numFmtId="0" fontId="0" fillId="0" borderId="0" xfId="58" applyBorder="1" applyAlignment="1" applyProtection="1">
      <alignment horizontal="center" vertical="center"/>
      <protection hidden="1"/>
    </xf>
    <xf numFmtId="0" fontId="0" fillId="0" borderId="0" xfId="58" applyBorder="1">
      <alignment/>
      <protection/>
    </xf>
    <xf numFmtId="0" fontId="0" fillId="0" borderId="0" xfId="58" applyBorder="1" applyAlignment="1" applyProtection="1">
      <alignment horizontal="center"/>
      <protection hidden="1"/>
    </xf>
    <xf numFmtId="0" fontId="0" fillId="0" borderId="0" xfId="58" applyBorder="1" applyAlignment="1" applyProtection="1">
      <alignment/>
      <protection hidden="1"/>
    </xf>
    <xf numFmtId="0" fontId="0" fillId="0" borderId="0" xfId="58" applyFont="1" applyBorder="1" applyAlignment="1" applyProtection="1">
      <alignment horizontal="right"/>
      <protection hidden="1"/>
    </xf>
    <xf numFmtId="0" fontId="11" fillId="0" borderId="0" xfId="58" applyFont="1" applyBorder="1" applyAlignment="1" applyProtection="1">
      <alignment horizontal="right"/>
      <protection hidden="1"/>
    </xf>
    <xf numFmtId="0" fontId="0" fillId="0" borderId="0" xfId="58" applyBorder="1" applyAlignment="1" applyProtection="1">
      <alignment horizontal="right"/>
      <protection hidden="1"/>
    </xf>
    <xf numFmtId="0" fontId="6" fillId="0" borderId="29" xfId="0" applyFont="1" applyFill="1" applyBorder="1" applyAlignment="1" applyProtection="1">
      <alignment horizontal="center"/>
      <protection/>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22" fillId="37" borderId="22"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hidden="1"/>
    </xf>
    <xf numFmtId="0" fontId="21" fillId="0" borderId="16" xfId="0" applyFont="1" applyBorder="1" applyAlignment="1" applyProtection="1">
      <alignment horizontal="justify" vertical="center"/>
      <protection hidden="1"/>
    </xf>
    <xf numFmtId="0" fontId="21" fillId="0" borderId="16" xfId="0" applyNumberFormat="1" applyFont="1" applyBorder="1" applyAlignment="1" applyProtection="1">
      <alignment horizontal="justify" vertical="center"/>
      <protection hidden="1"/>
    </xf>
    <xf numFmtId="0" fontId="20" fillId="0" borderId="16" xfId="0" applyFont="1" applyFill="1" applyBorder="1" applyAlignment="1" applyProtection="1">
      <alignment horizontal="right" vertical="center"/>
      <protection hidden="1"/>
    </xf>
    <xf numFmtId="0" fontId="21" fillId="0" borderId="16" xfId="0" applyFont="1" applyBorder="1" applyAlignment="1" applyProtection="1">
      <alignment horizontal="justify" vertical="center"/>
      <protection hidden="1"/>
    </xf>
    <xf numFmtId="0" fontId="23" fillId="0" borderId="16"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5" fillId="0" borderId="18" xfId="0" applyFont="1" applyBorder="1" applyAlignment="1" applyProtection="1">
      <alignment/>
      <protection hidden="1"/>
    </xf>
    <xf numFmtId="0" fontId="12" fillId="0" borderId="18" xfId="0" applyFont="1" applyBorder="1" applyAlignment="1" applyProtection="1">
      <alignment/>
      <protection hidden="1"/>
    </xf>
    <xf numFmtId="0" fontId="25" fillId="0" borderId="10" xfId="0" applyFont="1" applyBorder="1" applyAlignment="1" applyProtection="1">
      <alignment/>
      <protection hidden="1"/>
    </xf>
    <xf numFmtId="0" fontId="3" fillId="0" borderId="0" xfId="0" applyFont="1" applyBorder="1" applyAlignment="1" applyProtection="1">
      <alignment/>
      <protection hidden="1"/>
    </xf>
    <xf numFmtId="0" fontId="12" fillId="0" borderId="0" xfId="0" applyFont="1" applyBorder="1" applyAlignment="1" applyProtection="1">
      <alignment/>
      <protection hidden="1"/>
    </xf>
    <xf numFmtId="0" fontId="3" fillId="0" borderId="15" xfId="0" applyFont="1" applyBorder="1" applyAlignment="1" applyProtection="1">
      <alignment/>
      <protection hidden="1"/>
    </xf>
    <xf numFmtId="0" fontId="12" fillId="0" borderId="15" xfId="0" applyFont="1" applyBorder="1" applyAlignment="1" applyProtection="1">
      <alignment/>
      <protection hidden="1"/>
    </xf>
    <xf numFmtId="0" fontId="12" fillId="0" borderId="15" xfId="0" applyFont="1" applyBorder="1" applyAlignment="1" applyProtection="1">
      <alignment/>
      <protection hidden="1"/>
    </xf>
    <xf numFmtId="0" fontId="12" fillId="0" borderId="13" xfId="0" applyFont="1" applyBorder="1" applyAlignment="1" applyProtection="1">
      <alignment/>
      <protection hidden="1"/>
    </xf>
    <xf numFmtId="0" fontId="0" fillId="38" borderId="44" xfId="0" applyFont="1" applyFill="1" applyBorder="1" applyAlignment="1" applyProtection="1">
      <alignment vertical="center"/>
      <protection hidden="1"/>
    </xf>
    <xf numFmtId="0" fontId="0" fillId="38" borderId="18" xfId="0" applyFont="1" applyFill="1" applyBorder="1" applyAlignment="1" applyProtection="1">
      <alignment horizontal="center" vertical="center"/>
      <protection hidden="1"/>
    </xf>
    <xf numFmtId="0" fontId="11" fillId="38" borderId="18" xfId="0" applyFont="1" applyFill="1" applyBorder="1" applyAlignment="1" applyProtection="1">
      <alignment horizontal="left" vertical="center"/>
      <protection hidden="1"/>
    </xf>
    <xf numFmtId="0" fontId="0" fillId="38" borderId="18" xfId="0" applyNumberFormat="1"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0" fillId="38" borderId="10" xfId="0" applyFont="1" applyFill="1" applyBorder="1" applyAlignment="1" applyProtection="1">
      <alignment vertical="center"/>
      <protection hidden="1"/>
    </xf>
    <xf numFmtId="0" fontId="0" fillId="38" borderId="11" xfId="0" applyFont="1" applyFill="1" applyBorder="1" applyAlignment="1" applyProtection="1">
      <alignment vertical="center"/>
      <protection hidden="1"/>
    </xf>
    <xf numFmtId="0" fontId="0" fillId="38" borderId="0" xfId="0" applyFont="1" applyFill="1" applyBorder="1" applyAlignment="1" applyProtection="1">
      <alignment horizontal="center" vertical="center"/>
      <protection hidden="1"/>
    </xf>
    <xf numFmtId="0" fontId="11" fillId="38" borderId="0" xfId="0" applyFont="1" applyFill="1" applyBorder="1" applyAlignment="1" applyProtection="1">
      <alignment vertical="center"/>
      <protection hidden="1"/>
    </xf>
    <xf numFmtId="0" fontId="11" fillId="38" borderId="0" xfId="0" applyNumberFormat="1" applyFont="1" applyFill="1" applyBorder="1" applyAlignment="1" applyProtection="1">
      <alignment vertical="center"/>
      <protection hidden="1"/>
    </xf>
    <xf numFmtId="0" fontId="11" fillId="38" borderId="12" xfId="0" applyFont="1" applyFill="1" applyBorder="1" applyAlignment="1" applyProtection="1">
      <alignment horizontal="left" vertical="center"/>
      <protection hidden="1"/>
    </xf>
    <xf numFmtId="0" fontId="11" fillId="38" borderId="0" xfId="0" applyFont="1" applyFill="1" applyBorder="1" applyAlignment="1" applyProtection="1">
      <alignment horizontal="left" vertical="center"/>
      <protection hidden="1"/>
    </xf>
    <xf numFmtId="0" fontId="0" fillId="38" borderId="0" xfId="0" applyNumberFormat="1" applyFont="1" applyFill="1" applyBorder="1" applyAlignment="1" applyProtection="1">
      <alignment vertical="center"/>
      <protection hidden="1"/>
    </xf>
    <xf numFmtId="0" fontId="0" fillId="38" borderId="0" xfId="0" applyFont="1" applyFill="1" applyBorder="1" applyAlignment="1" applyProtection="1">
      <alignment vertical="center"/>
      <protection hidden="1"/>
    </xf>
    <xf numFmtId="0" fontId="0" fillId="38" borderId="12" xfId="0" applyFont="1" applyFill="1" applyBorder="1" applyAlignment="1" applyProtection="1">
      <alignment vertical="center"/>
      <protection hidden="1"/>
    </xf>
    <xf numFmtId="0" fontId="0" fillId="38" borderId="14"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11" fillId="38" borderId="15" xfId="0" applyFont="1" applyFill="1" applyBorder="1" applyAlignment="1" applyProtection="1">
      <alignment horizontal="left" vertical="center"/>
      <protection hidden="1"/>
    </xf>
    <xf numFmtId="0" fontId="0" fillId="38" borderId="15" xfId="0" applyNumberFormat="1" applyFont="1" applyFill="1" applyBorder="1" applyAlignment="1" applyProtection="1">
      <alignment vertical="center"/>
      <protection hidden="1"/>
    </xf>
    <xf numFmtId="0" fontId="0" fillId="38" borderId="15" xfId="0" applyFont="1" applyFill="1" applyBorder="1" applyAlignment="1" applyProtection="1">
      <alignment vertical="center"/>
      <protection hidden="1"/>
    </xf>
    <xf numFmtId="0" fontId="0" fillId="38" borderId="13" xfId="0" applyFont="1" applyFill="1" applyBorder="1" applyAlignment="1" applyProtection="1">
      <alignment vertical="center"/>
      <protection hidden="1"/>
    </xf>
    <xf numFmtId="0" fontId="11" fillId="39" borderId="44" xfId="0" applyFont="1" applyFill="1" applyBorder="1" applyAlignment="1" applyProtection="1">
      <alignment horizontal="left"/>
      <protection hidden="1"/>
    </xf>
    <xf numFmtId="0" fontId="0" fillId="39" borderId="18" xfId="0" applyFont="1" applyFill="1" applyBorder="1" applyAlignment="1" applyProtection="1">
      <alignment/>
      <protection hidden="1"/>
    </xf>
    <xf numFmtId="0" fontId="0" fillId="39" borderId="18" xfId="0" applyNumberFormat="1" applyFont="1" applyFill="1" applyBorder="1" applyAlignment="1" applyProtection="1">
      <alignment/>
      <protection hidden="1"/>
    </xf>
    <xf numFmtId="0" fontId="0" fillId="39" borderId="10" xfId="0" applyFont="1" applyFill="1" applyBorder="1" applyAlignment="1" applyProtection="1">
      <alignment/>
      <protection hidden="1"/>
    </xf>
    <xf numFmtId="0" fontId="13" fillId="39" borderId="14" xfId="0" applyFont="1" applyFill="1" applyBorder="1" applyAlignment="1" applyProtection="1">
      <alignment horizontal="center" vertical="center" wrapText="1"/>
      <protection hidden="1"/>
    </xf>
    <xf numFmtId="0" fontId="0" fillId="39" borderId="15" xfId="0" applyFont="1" applyFill="1" applyBorder="1" applyAlignment="1" applyProtection="1">
      <alignment horizontal="left" vertical="center"/>
      <protection hidden="1"/>
    </xf>
    <xf numFmtId="0" fontId="0" fillId="39" borderId="15" xfId="0" applyNumberFormat="1" applyFont="1" applyFill="1" applyBorder="1" applyAlignment="1" applyProtection="1">
      <alignment horizontal="center" vertical="center"/>
      <protection hidden="1"/>
    </xf>
    <xf numFmtId="0" fontId="0" fillId="39" borderId="15" xfId="0" applyFont="1" applyFill="1" applyBorder="1" applyAlignment="1" applyProtection="1">
      <alignment horizontal="center" vertical="center" wrapText="1"/>
      <protection hidden="1"/>
    </xf>
    <xf numFmtId="0" fontId="0" fillId="39" borderId="13" xfId="0" applyFont="1" applyFill="1" applyBorder="1" applyAlignment="1" applyProtection="1">
      <alignment horizontal="center" vertical="center" wrapText="1"/>
      <protection hidden="1"/>
    </xf>
    <xf numFmtId="0" fontId="0" fillId="38" borderId="11" xfId="0"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11" fillId="38" borderId="12" xfId="0" applyFont="1" applyFill="1" applyBorder="1" applyAlignment="1" applyProtection="1">
      <alignment horizontal="center"/>
      <protection hidden="1"/>
    </xf>
    <xf numFmtId="0" fontId="0" fillId="38" borderId="14" xfId="0" applyFill="1" applyBorder="1" applyAlignment="1" applyProtection="1">
      <alignment horizontal="center"/>
      <protection hidden="1"/>
    </xf>
    <xf numFmtId="0" fontId="0" fillId="38" borderId="15" xfId="0" applyFont="1" applyFill="1" applyBorder="1" applyAlignment="1" applyProtection="1">
      <alignment horizontal="center"/>
      <protection hidden="1"/>
    </xf>
    <xf numFmtId="0" fontId="11" fillId="38" borderId="13" xfId="0" applyFont="1" applyFill="1" applyBorder="1" applyAlignment="1" applyProtection="1">
      <alignment horizontal="center"/>
      <protection hidden="1"/>
    </xf>
    <xf numFmtId="0" fontId="0" fillId="38" borderId="44" xfId="0"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0" fontId="11" fillId="38" borderId="10" xfId="0" applyFont="1" applyFill="1" applyBorder="1" applyAlignment="1" applyProtection="1">
      <alignment horizontal="center"/>
      <protection hidden="1"/>
    </xf>
    <xf numFmtId="0" fontId="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1" fillId="38" borderId="15" xfId="0" applyFont="1" applyFill="1" applyBorder="1" applyAlignment="1" applyProtection="1">
      <alignment/>
      <protection hidden="1"/>
    </xf>
    <xf numFmtId="0" fontId="0" fillId="38" borderId="15" xfId="0" applyFont="1" applyFill="1" applyBorder="1" applyAlignment="1" applyProtection="1">
      <alignment/>
      <protection hidden="1"/>
    </xf>
    <xf numFmtId="0" fontId="11" fillId="38" borderId="18" xfId="0" applyFont="1" applyFill="1" applyBorder="1" applyAlignment="1" applyProtection="1">
      <alignment/>
      <protection hidden="1"/>
    </xf>
    <xf numFmtId="0" fontId="0" fillId="38" borderId="18" xfId="0" applyFont="1" applyFill="1" applyBorder="1" applyAlignment="1" applyProtection="1">
      <alignment/>
      <protection hidden="1"/>
    </xf>
    <xf numFmtId="0" fontId="11" fillId="38" borderId="0" xfId="0" applyFont="1" applyFill="1" applyBorder="1" applyAlignment="1" applyProtection="1">
      <alignment/>
      <protection hidden="1"/>
    </xf>
    <xf numFmtId="0" fontId="0" fillId="38" borderId="0" xfId="0" applyFont="1" applyFill="1" applyBorder="1" applyAlignment="1" applyProtection="1">
      <alignment/>
      <protection hidden="1"/>
    </xf>
    <xf numFmtId="0" fontId="0" fillId="0" borderId="22"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11" fillId="38" borderId="18" xfId="0" applyFont="1" applyFill="1" applyBorder="1" applyAlignment="1" applyProtection="1">
      <alignment horizontal="left"/>
      <protection hidden="1"/>
    </xf>
    <xf numFmtId="0" fontId="11" fillId="38" borderId="0" xfId="0" applyFont="1" applyFill="1" applyBorder="1" applyAlignment="1" applyProtection="1">
      <alignment horizontal="left"/>
      <protection hidden="1"/>
    </xf>
    <xf numFmtId="0" fontId="13" fillId="39" borderId="21" xfId="0" applyFont="1" applyFill="1" applyBorder="1" applyAlignment="1" applyProtection="1">
      <alignment horizontal="center" vertical="center" wrapText="1"/>
      <protection hidden="1"/>
    </xf>
    <xf numFmtId="0" fontId="0" fillId="39" borderId="22" xfId="0" applyFill="1" applyBorder="1" applyAlignment="1" applyProtection="1">
      <alignment horizontal="left" vertical="center"/>
      <protection hidden="1"/>
    </xf>
    <xf numFmtId="0" fontId="0" fillId="39" borderId="22" xfId="0" applyFill="1" applyBorder="1" applyAlignment="1" applyProtection="1">
      <alignment horizontal="center" vertical="center" wrapText="1"/>
      <protection hidden="1"/>
    </xf>
    <xf numFmtId="0" fontId="0" fillId="39" borderId="22" xfId="0" applyNumberFormat="1" applyFill="1" applyBorder="1" applyAlignment="1" applyProtection="1">
      <alignment horizontal="center" vertical="center" wrapText="1"/>
      <protection hidden="1"/>
    </xf>
    <xf numFmtId="0" fontId="0" fillId="39" borderId="23" xfId="0" applyFont="1" applyFill="1" applyBorder="1" applyAlignment="1" applyProtection="1">
      <alignment horizontal="center" vertical="center"/>
      <protection hidden="1"/>
    </xf>
    <xf numFmtId="0" fontId="0" fillId="38" borderId="18" xfId="0" applyFill="1" applyBorder="1" applyAlignment="1" applyProtection="1">
      <alignment/>
      <protection hidden="1"/>
    </xf>
    <xf numFmtId="0" fontId="11" fillId="38" borderId="10" xfId="0" applyFont="1" applyFill="1" applyBorder="1" applyAlignment="1" applyProtection="1">
      <alignment/>
      <protection hidden="1"/>
    </xf>
    <xf numFmtId="0" fontId="0" fillId="38" borderId="0" xfId="0" applyFill="1" applyBorder="1" applyAlignment="1" applyProtection="1">
      <alignment/>
      <protection hidden="1"/>
    </xf>
    <xf numFmtId="0" fontId="11" fillId="38" borderId="12" xfId="0" applyFont="1" applyFill="1" applyBorder="1" applyAlignment="1" applyProtection="1">
      <alignment/>
      <protection hidden="1"/>
    </xf>
    <xf numFmtId="0" fontId="0" fillId="38" borderId="14" xfId="0" applyFont="1" applyFill="1" applyBorder="1" applyAlignment="1" applyProtection="1">
      <alignment vertical="center"/>
      <protection hidden="1"/>
    </xf>
    <xf numFmtId="0" fontId="0" fillId="38" borderId="15" xfId="0" applyFill="1" applyBorder="1" applyAlignment="1" applyProtection="1">
      <alignment/>
      <protection hidden="1"/>
    </xf>
    <xf numFmtId="0" fontId="11" fillId="38" borderId="13" xfId="0" applyFont="1" applyFill="1" applyBorder="1" applyAlignment="1" applyProtection="1">
      <alignment/>
      <protection hidden="1"/>
    </xf>
    <xf numFmtId="0" fontId="0" fillId="39" borderId="22" xfId="0" applyFont="1" applyFill="1" applyBorder="1" applyAlignment="1" applyProtection="1">
      <alignment horizontal="left" vertical="center"/>
      <protection hidden="1"/>
    </xf>
    <xf numFmtId="0" fontId="0" fillId="39" borderId="22" xfId="0" applyNumberFormat="1" applyFont="1" applyFill="1" applyBorder="1" applyAlignment="1" applyProtection="1">
      <alignment horizontal="center" vertical="center"/>
      <protection hidden="1"/>
    </xf>
    <xf numFmtId="0" fontId="0" fillId="39" borderId="22" xfId="0" applyFont="1" applyFill="1" applyBorder="1" applyAlignment="1" applyProtection="1">
      <alignment horizontal="center" vertical="center" wrapText="1"/>
      <protection hidden="1"/>
    </xf>
    <xf numFmtId="0" fontId="0" fillId="39" borderId="23" xfId="0" applyFont="1" applyFill="1" applyBorder="1" applyAlignment="1" applyProtection="1">
      <alignment horizontal="center" vertical="center" wrapText="1"/>
      <protection hidden="1"/>
    </xf>
    <xf numFmtId="0" fontId="0" fillId="38" borderId="18" xfId="0"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5" xfId="0" applyFont="1" applyFill="1" applyBorder="1" applyAlignment="1" applyProtection="1">
      <alignment horizontal="center"/>
      <protection hidden="1"/>
    </xf>
    <xf numFmtId="0" fontId="0" fillId="0" borderId="15" xfId="0" applyFont="1" applyFill="1" applyBorder="1" applyAlignment="1" applyProtection="1">
      <alignment vertical="center"/>
      <protection hidden="1"/>
    </xf>
    <xf numFmtId="0" fontId="0" fillId="0" borderId="15" xfId="0" applyFont="1" applyFill="1" applyBorder="1" applyAlignment="1" applyProtection="1">
      <alignment horizontal="center" vertical="center"/>
      <protection hidden="1"/>
    </xf>
    <xf numFmtId="0" fontId="11" fillId="0" borderId="15" xfId="0" applyFont="1" applyFill="1" applyBorder="1" applyAlignment="1" applyProtection="1">
      <alignment horizontal="left" vertical="center"/>
      <protection hidden="1"/>
    </xf>
    <xf numFmtId="0" fontId="0" fillId="0" borderId="15" xfId="0" applyNumberFormat="1" applyFont="1" applyFill="1" applyBorder="1" applyAlignment="1" applyProtection="1">
      <alignment vertical="center"/>
      <protection hidden="1"/>
    </xf>
    <xf numFmtId="0" fontId="0" fillId="38" borderId="18" xfId="0" applyFill="1" applyBorder="1" applyAlignment="1" applyProtection="1">
      <alignment horizontal="center"/>
      <protection hidden="1"/>
    </xf>
    <xf numFmtId="0" fontId="0" fillId="38" borderId="0" xfId="0" applyFill="1" applyBorder="1" applyAlignment="1" applyProtection="1">
      <alignment horizontal="center"/>
      <protection hidden="1"/>
    </xf>
    <xf numFmtId="0" fontId="0" fillId="38" borderId="15" xfId="0" applyFill="1" applyBorder="1" applyAlignment="1" applyProtection="1">
      <alignment horizontal="center"/>
      <protection hidden="1"/>
    </xf>
    <xf numFmtId="0" fontId="0" fillId="0" borderId="15" xfId="0" applyFont="1" applyFill="1" applyBorder="1" applyAlignment="1" applyProtection="1">
      <alignment vertical="center"/>
      <protection hidden="1"/>
    </xf>
    <xf numFmtId="0" fontId="11" fillId="0" borderId="22" xfId="0" applyFont="1" applyFill="1" applyBorder="1" applyAlignment="1" applyProtection="1">
      <alignment/>
      <protection hidden="1"/>
    </xf>
    <xf numFmtId="0" fontId="0" fillId="39" borderId="18" xfId="0" applyFont="1" applyFill="1" applyBorder="1" applyAlignment="1" applyProtection="1">
      <alignment horizontal="left" vertical="center"/>
      <protection hidden="1"/>
    </xf>
    <xf numFmtId="0" fontId="0" fillId="39" borderId="18" xfId="0" applyFill="1" applyBorder="1" applyAlignment="1" applyProtection="1">
      <alignment horizontal="center" vertical="center" wrapText="1"/>
      <protection hidden="1"/>
    </xf>
    <xf numFmtId="0" fontId="0" fillId="39" borderId="18" xfId="0" applyNumberFormat="1" applyFont="1" applyFill="1" applyBorder="1" applyAlignment="1" applyProtection="1">
      <alignment horizontal="center" vertical="center"/>
      <protection hidden="1"/>
    </xf>
    <xf numFmtId="0" fontId="0" fillId="39" borderId="18" xfId="0" applyFont="1" applyFill="1" applyBorder="1" applyAlignment="1" applyProtection="1">
      <alignment horizontal="center" vertical="center" wrapText="1"/>
      <protection hidden="1"/>
    </xf>
    <xf numFmtId="0" fontId="0" fillId="39" borderId="10" xfId="0" applyFont="1" applyFill="1" applyBorder="1" applyAlignment="1" applyProtection="1">
      <alignment horizontal="center" vertical="center" wrapText="1"/>
      <protection hidden="1"/>
    </xf>
    <xf numFmtId="0" fontId="0" fillId="38" borderId="10" xfId="0" applyFont="1" applyFill="1" applyBorder="1" applyAlignment="1" applyProtection="1">
      <alignment/>
      <protection hidden="1"/>
    </xf>
    <xf numFmtId="0" fontId="11" fillId="38" borderId="11" xfId="0" applyFont="1" applyFill="1" applyBorder="1" applyAlignment="1" applyProtection="1">
      <alignment horizontal="center"/>
      <protection hidden="1"/>
    </xf>
    <xf numFmtId="0" fontId="0" fillId="38" borderId="12" xfId="0" applyFont="1" applyFill="1" applyBorder="1" applyAlignment="1" applyProtection="1">
      <alignment/>
      <protection hidden="1"/>
    </xf>
    <xf numFmtId="0" fontId="11" fillId="38" borderId="14" xfId="0" applyFont="1" applyFill="1" applyBorder="1" applyAlignment="1" applyProtection="1">
      <alignment horizontal="center"/>
      <protection hidden="1"/>
    </xf>
    <xf numFmtId="0" fontId="0" fillId="38" borderId="13" xfId="0" applyFont="1" applyFill="1" applyBorder="1" applyAlignment="1" applyProtection="1">
      <alignment/>
      <protection hidden="1"/>
    </xf>
    <xf numFmtId="0" fontId="11" fillId="38" borderId="0" xfId="0" applyFont="1" applyFill="1" applyBorder="1" applyAlignment="1" applyProtection="1">
      <alignment/>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Fill="1" applyBorder="1" applyAlignment="1" applyProtection="1">
      <alignment vertical="center" wrapText="1"/>
      <protection hidden="1"/>
    </xf>
    <xf numFmtId="0" fontId="0" fillId="38" borderId="18" xfId="0" applyFont="1" applyFill="1" applyBorder="1" applyAlignment="1" applyProtection="1">
      <alignment horizontal="right"/>
      <protection hidden="1"/>
    </xf>
    <xf numFmtId="0" fontId="0" fillId="38" borderId="0" xfId="0" applyFont="1" applyFill="1" applyBorder="1" applyAlignment="1" applyProtection="1">
      <alignment horizontal="right"/>
      <protection hidden="1"/>
    </xf>
    <xf numFmtId="0" fontId="0" fillId="38" borderId="15" xfId="0" applyFont="1" applyFill="1" applyBorder="1" applyAlignment="1" applyProtection="1">
      <alignment horizontal="right"/>
      <protection hidden="1"/>
    </xf>
    <xf numFmtId="0" fontId="0" fillId="38" borderId="18" xfId="0" applyFill="1" applyBorder="1" applyAlignment="1" applyProtection="1">
      <alignment horizontal="right"/>
      <protection hidden="1"/>
    </xf>
    <xf numFmtId="0" fontId="0" fillId="38" borderId="0" xfId="0" applyFill="1" applyBorder="1" applyAlignment="1" applyProtection="1">
      <alignment horizontal="right"/>
      <protection hidden="1"/>
    </xf>
    <xf numFmtId="0" fontId="0" fillId="38" borderId="15" xfId="0" applyFill="1" applyBorder="1" applyAlignment="1" applyProtection="1">
      <alignment horizontal="right"/>
      <protection hidden="1"/>
    </xf>
    <xf numFmtId="0" fontId="17" fillId="39" borderId="43" xfId="0" applyFont="1" applyFill="1" applyBorder="1" applyAlignment="1" applyProtection="1">
      <alignment horizontal="right"/>
      <protection hidden="1"/>
    </xf>
    <xf numFmtId="0" fontId="25" fillId="39" borderId="31" xfId="0" applyFont="1" applyFill="1" applyBorder="1" applyAlignment="1" applyProtection="1">
      <alignment horizontal="justify" vertical="center"/>
      <protection hidden="1"/>
    </xf>
    <xf numFmtId="0" fontId="21" fillId="39" borderId="27" xfId="0" applyFont="1" applyFill="1" applyBorder="1" applyAlignment="1" applyProtection="1">
      <alignment horizontal="center" vertical="center" textRotation="90" wrapText="1"/>
      <protection hidden="1"/>
    </xf>
    <xf numFmtId="0" fontId="21" fillId="39" borderId="27" xfId="0" applyFont="1" applyFill="1" applyBorder="1" applyAlignment="1" applyProtection="1">
      <alignment horizontal="center" vertical="center" textRotation="90"/>
      <protection hidden="1"/>
    </xf>
    <xf numFmtId="0" fontId="21" fillId="39" borderId="32" xfId="0" applyFont="1" applyFill="1" applyBorder="1" applyAlignment="1" applyProtection="1">
      <alignment horizontal="justify" vertical="center" textRotation="90"/>
      <protection hidden="1"/>
    </xf>
    <xf numFmtId="0" fontId="21" fillId="39" borderId="26" xfId="0" applyFont="1" applyFill="1" applyBorder="1" applyAlignment="1" applyProtection="1">
      <alignment horizontal="center" vertical="center" textRotation="90"/>
      <protection hidden="1"/>
    </xf>
    <xf numFmtId="0" fontId="25" fillId="39" borderId="36" xfId="0" applyFont="1" applyFill="1" applyBorder="1" applyAlignment="1" applyProtection="1">
      <alignment horizontal="justify" vertical="center"/>
      <protection hidden="1"/>
    </xf>
    <xf numFmtId="0" fontId="21" fillId="39" borderId="45" xfId="0" applyFont="1" applyFill="1" applyBorder="1" applyAlignment="1" applyProtection="1">
      <alignment horizontal="center" vertical="center" textRotation="90"/>
      <protection hidden="1"/>
    </xf>
    <xf numFmtId="0" fontId="21" fillId="39" borderId="46" xfId="0" applyFont="1" applyFill="1" applyBorder="1" applyAlignment="1" applyProtection="1">
      <alignment horizontal="justify" vertical="center" textRotation="90"/>
      <protection hidden="1"/>
    </xf>
    <xf numFmtId="0" fontId="21" fillId="39" borderId="37" xfId="0" applyFont="1" applyFill="1" applyBorder="1" applyAlignment="1" applyProtection="1">
      <alignment horizontal="center" vertical="center" textRotation="90"/>
      <protection hidden="1"/>
    </xf>
    <xf numFmtId="0" fontId="25" fillId="39" borderId="27" xfId="0" applyFont="1" applyFill="1" applyBorder="1" applyAlignment="1" applyProtection="1">
      <alignment horizontal="justify" vertical="center"/>
      <protection hidden="1"/>
    </xf>
    <xf numFmtId="0" fontId="0" fillId="0" borderId="0" xfId="58" applyFont="1">
      <alignment/>
      <protection/>
    </xf>
    <xf numFmtId="0" fontId="0" fillId="0" borderId="15" xfId="58" applyBorder="1" applyProtection="1">
      <alignment/>
      <protection hidden="1"/>
    </xf>
    <xf numFmtId="0" fontId="8" fillId="0" borderId="15" xfId="58" applyFont="1" applyBorder="1" applyAlignment="1" applyProtection="1">
      <alignment horizontal="center"/>
      <protection hidden="1"/>
    </xf>
    <xf numFmtId="0" fontId="0" fillId="0" borderId="15" xfId="58" applyBorder="1">
      <alignment/>
      <protection/>
    </xf>
    <xf numFmtId="0" fontId="19" fillId="0" borderId="15" xfId="58" applyFont="1" applyBorder="1" applyAlignment="1" applyProtection="1">
      <alignment horizontal="center"/>
      <protection hidden="1"/>
    </xf>
    <xf numFmtId="0" fontId="19" fillId="0" borderId="15" xfId="58" applyFont="1" applyBorder="1" applyAlignment="1" applyProtection="1">
      <alignment horizontal="center"/>
      <protection hidden="1"/>
    </xf>
    <xf numFmtId="0" fontId="0" fillId="38" borderId="10" xfId="0" applyFill="1" applyBorder="1" applyAlignment="1" applyProtection="1">
      <alignment/>
      <protection hidden="1"/>
    </xf>
    <xf numFmtId="0" fontId="0" fillId="38" borderId="12" xfId="0" applyFill="1" applyBorder="1" applyAlignment="1" applyProtection="1">
      <alignment/>
      <protection hidden="1"/>
    </xf>
    <xf numFmtId="0" fontId="0" fillId="38" borderId="13" xfId="0" applyFill="1" applyBorder="1" applyAlignment="1" applyProtection="1">
      <alignment/>
      <protection hidden="1"/>
    </xf>
    <xf numFmtId="0" fontId="0" fillId="38" borderId="11" xfId="0" applyFill="1" applyBorder="1" applyAlignment="1" applyProtection="1">
      <alignment/>
      <protection hidden="1"/>
    </xf>
    <xf numFmtId="0" fontId="0" fillId="38" borderId="0" xfId="0" applyFill="1" applyBorder="1" applyAlignment="1" applyProtection="1">
      <alignment/>
      <protection hidden="1" locked="0"/>
    </xf>
    <xf numFmtId="0" fontId="0" fillId="38" borderId="0" xfId="0" applyFont="1" applyFill="1" applyBorder="1" applyAlignment="1" applyProtection="1">
      <alignment/>
      <protection hidden="1"/>
    </xf>
    <xf numFmtId="0" fontId="7" fillId="38" borderId="0" xfId="0" applyFont="1" applyFill="1" applyBorder="1" applyAlignment="1" applyProtection="1">
      <alignment/>
      <protection hidden="1"/>
    </xf>
    <xf numFmtId="0" fontId="3" fillId="38" borderId="0" xfId="0" applyFont="1" applyFill="1" applyBorder="1" applyAlignment="1">
      <alignment horizontal="center" vertical="center" wrapText="1"/>
    </xf>
    <xf numFmtId="0" fontId="0" fillId="38" borderId="0" xfId="0" applyFill="1" applyBorder="1" applyAlignment="1" applyProtection="1">
      <alignment horizontal="center" vertical="center"/>
      <protection hidden="1"/>
    </xf>
    <xf numFmtId="0" fontId="0" fillId="38" borderId="14" xfId="0" applyFill="1" applyBorder="1" applyAlignment="1" applyProtection="1">
      <alignment/>
      <protection hidden="1"/>
    </xf>
    <xf numFmtId="0" fontId="0" fillId="0" borderId="0" xfId="0" applyFont="1" applyFill="1" applyBorder="1" applyAlignment="1" applyProtection="1">
      <alignment vertical="center"/>
      <protection hidden="1"/>
    </xf>
    <xf numFmtId="0" fontId="0" fillId="38" borderId="44" xfId="0" applyFont="1" applyFill="1" applyBorder="1" applyAlignment="1" applyProtection="1">
      <alignment vertical="center"/>
      <protection hidden="1"/>
    </xf>
    <xf numFmtId="0" fontId="0" fillId="38" borderId="44" xfId="0" applyFont="1" applyFill="1" applyBorder="1" applyAlignment="1" applyProtection="1">
      <alignment/>
      <protection hidden="1"/>
    </xf>
    <xf numFmtId="0" fontId="0" fillId="38" borderId="18" xfId="0" applyFont="1" applyFill="1" applyBorder="1" applyAlignment="1" applyProtection="1">
      <alignment/>
      <protection hidden="1"/>
    </xf>
    <xf numFmtId="0" fontId="0" fillId="38" borderId="10" xfId="0" applyFont="1" applyFill="1" applyBorder="1" applyAlignment="1" applyProtection="1">
      <alignment/>
      <protection hidden="1"/>
    </xf>
    <xf numFmtId="0" fontId="0" fillId="38" borderId="11" xfId="0" applyFont="1" applyFill="1" applyBorder="1" applyAlignment="1" applyProtection="1">
      <alignment/>
      <protection hidden="1"/>
    </xf>
    <xf numFmtId="0" fontId="0" fillId="38" borderId="0" xfId="0" applyFont="1" applyFill="1" applyBorder="1" applyAlignment="1" applyProtection="1">
      <alignment/>
      <protection hidden="1"/>
    </xf>
    <xf numFmtId="0" fontId="0" fillId="38" borderId="12" xfId="0" applyFont="1" applyFill="1" applyBorder="1" applyAlignment="1" applyProtection="1">
      <alignment/>
      <protection hidden="1"/>
    </xf>
    <xf numFmtId="0" fontId="0" fillId="0" borderId="0" xfId="0" applyFont="1" applyFill="1" applyAlignment="1" applyProtection="1">
      <alignment/>
      <protection hidden="1"/>
    </xf>
    <xf numFmtId="0" fontId="0" fillId="39" borderId="0" xfId="0" applyFont="1" applyFill="1" applyBorder="1" applyAlignment="1" applyProtection="1">
      <alignment horizontal="center" vertical="center" wrapText="1"/>
      <protection hidden="1"/>
    </xf>
    <xf numFmtId="0" fontId="0" fillId="39" borderId="0" xfId="0" applyFont="1" applyFill="1" applyBorder="1" applyAlignment="1" applyProtection="1">
      <alignment horizontal="center" vertical="center"/>
      <protection hidden="1"/>
    </xf>
    <xf numFmtId="0" fontId="11" fillId="38" borderId="0" xfId="0" applyFont="1" applyFill="1" applyBorder="1" applyAlignment="1" applyProtection="1">
      <alignment horizontal="center"/>
      <protection hidden="1"/>
    </xf>
    <xf numFmtId="0" fontId="0" fillId="39" borderId="11" xfId="0" applyFont="1" applyFill="1" applyBorder="1" applyAlignment="1" applyProtection="1">
      <alignment horizontal="center" vertical="center" wrapText="1"/>
      <protection hidden="1"/>
    </xf>
    <xf numFmtId="0" fontId="0" fillId="38" borderId="44" xfId="0" applyFont="1" applyFill="1" applyBorder="1" applyAlignment="1" applyProtection="1">
      <alignment horizontal="left"/>
      <protection hidden="1"/>
    </xf>
    <xf numFmtId="0" fontId="0" fillId="38" borderId="11" xfId="0" applyFont="1" applyFill="1" applyBorder="1" applyAlignment="1" applyProtection="1">
      <alignment/>
      <protection hidden="1"/>
    </xf>
    <xf numFmtId="0" fontId="30" fillId="38" borderId="11" xfId="0" applyFont="1" applyFill="1" applyBorder="1" applyAlignment="1" applyProtection="1">
      <alignment horizontal="left"/>
      <protection hidden="1"/>
    </xf>
    <xf numFmtId="0" fontId="14" fillId="38" borderId="0" xfId="0" applyFont="1" applyFill="1" applyBorder="1" applyAlignment="1" applyProtection="1">
      <alignment horizontal="center"/>
      <protection hidden="1"/>
    </xf>
    <xf numFmtId="0" fontId="18" fillId="38" borderId="11" xfId="0" applyFont="1" applyFill="1" applyBorder="1" applyAlignment="1" applyProtection="1">
      <alignment/>
      <protection hidden="1"/>
    </xf>
    <xf numFmtId="0" fontId="11" fillId="38" borderId="11" xfId="0" applyFont="1" applyFill="1" applyBorder="1" applyAlignment="1" applyProtection="1">
      <alignment/>
      <protection hidden="1"/>
    </xf>
    <xf numFmtId="0" fontId="0" fillId="38" borderId="11" xfId="0" applyFont="1" applyFill="1" applyBorder="1" applyAlignment="1" applyProtection="1">
      <alignment horizontal="center"/>
      <protection hidden="1"/>
    </xf>
    <xf numFmtId="0" fontId="14" fillId="38" borderId="11" xfId="0" applyFont="1" applyFill="1" applyBorder="1" applyAlignment="1" applyProtection="1">
      <alignment horizontal="left"/>
      <protection hidden="1"/>
    </xf>
    <xf numFmtId="0" fontId="0" fillId="38" borderId="0" xfId="0" applyFill="1" applyBorder="1" applyAlignment="1" applyProtection="1">
      <alignment horizontal="left"/>
      <protection hidden="1"/>
    </xf>
    <xf numFmtId="0" fontId="0" fillId="38" borderId="0" xfId="0" applyFont="1" applyFill="1" applyBorder="1" applyAlignment="1" applyProtection="1">
      <alignment horizontal="left"/>
      <protection hidden="1"/>
    </xf>
    <xf numFmtId="0" fontId="0" fillId="38" borderId="11" xfId="0" applyFont="1" applyFill="1" applyBorder="1" applyAlignment="1" applyProtection="1">
      <alignment horizontal="right"/>
      <protection hidden="1"/>
    </xf>
    <xf numFmtId="0" fontId="0" fillId="39" borderId="12" xfId="0" applyFont="1" applyFill="1" applyBorder="1" applyAlignment="1" applyProtection="1">
      <alignment vertical="center" wrapText="1"/>
      <protection hidden="1"/>
    </xf>
    <xf numFmtId="0" fontId="0" fillId="38" borderId="44" xfId="0" applyFont="1" applyFill="1" applyBorder="1" applyAlignment="1" applyProtection="1">
      <alignment/>
      <protection hidden="1"/>
    </xf>
    <xf numFmtId="0" fontId="0" fillId="38" borderId="14" xfId="0" applyFont="1" applyFill="1" applyBorder="1" applyAlignment="1" applyProtection="1">
      <alignment/>
      <protection hidden="1"/>
    </xf>
    <xf numFmtId="0" fontId="30" fillId="38" borderId="11" xfId="0" applyFont="1" applyFill="1" applyBorder="1" applyAlignment="1" applyProtection="1">
      <alignment/>
      <protection hidden="1"/>
    </xf>
    <xf numFmtId="0" fontId="8" fillId="38" borderId="0" xfId="0" applyFont="1" applyFill="1" applyBorder="1" applyAlignment="1" applyProtection="1">
      <alignment/>
      <protection hidden="1"/>
    </xf>
    <xf numFmtId="0" fontId="0" fillId="38" borderId="12" xfId="0" applyFill="1" applyBorder="1" applyAlignment="1" applyProtection="1">
      <alignment horizontal="center"/>
      <protection hidden="1"/>
    </xf>
    <xf numFmtId="0" fontId="8" fillId="38" borderId="11" xfId="0" applyFont="1" applyFill="1" applyBorder="1" applyAlignment="1" applyProtection="1">
      <alignment/>
      <protection hidden="1"/>
    </xf>
    <xf numFmtId="3" fontId="11" fillId="38" borderId="0" xfId="0" applyNumberFormat="1" applyFont="1" applyFill="1" applyBorder="1" applyAlignment="1" applyProtection="1">
      <alignment/>
      <protection hidden="1"/>
    </xf>
    <xf numFmtId="3" fontId="0" fillId="38" borderId="0" xfId="0" applyNumberFormat="1" applyFill="1" applyBorder="1" applyAlignment="1" applyProtection="1">
      <alignment/>
      <protection hidden="1"/>
    </xf>
    <xf numFmtId="0" fontId="3"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38" fillId="0" borderId="0" xfId="0" applyFont="1" applyFill="1" applyAlignment="1" applyProtection="1">
      <alignment horizontal="center"/>
      <protection/>
    </xf>
    <xf numFmtId="0" fontId="41" fillId="0" borderId="0" xfId="0" applyFont="1" applyFill="1" applyAlignment="1">
      <alignment/>
    </xf>
    <xf numFmtId="0" fontId="3" fillId="0" borderId="29" xfId="0" applyFont="1" applyFill="1" applyBorder="1" applyAlignment="1" applyProtection="1">
      <alignment horizontal="center"/>
      <protection/>
    </xf>
    <xf numFmtId="0" fontId="3" fillId="0" borderId="29" xfId="0" applyFont="1" applyFill="1" applyBorder="1" applyAlignment="1" applyProtection="1">
      <alignment/>
      <protection/>
    </xf>
    <xf numFmtId="0" fontId="38" fillId="0" borderId="29" xfId="0" applyFont="1" applyFill="1" applyBorder="1" applyAlignment="1" applyProtection="1">
      <alignment horizontal="center"/>
      <protection/>
    </xf>
    <xf numFmtId="0" fontId="41" fillId="0" borderId="29" xfId="0" applyFont="1" applyFill="1" applyBorder="1" applyAlignment="1">
      <alignment/>
    </xf>
    <xf numFmtId="0" fontId="0" fillId="35" borderId="0" xfId="0" applyFill="1" applyAlignment="1" applyProtection="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shrinkToFit="1"/>
      <protection hidden="1"/>
    </xf>
    <xf numFmtId="0" fontId="0" fillId="0" borderId="0" xfId="0" applyFill="1" applyAlignment="1" applyProtection="1">
      <alignment/>
      <protection locked="0"/>
    </xf>
    <xf numFmtId="0" fontId="0" fillId="0" borderId="0" xfId="0" applyFill="1" applyAlignment="1" applyProtection="1">
      <alignment horizontal="center"/>
      <protection/>
    </xf>
    <xf numFmtId="0" fontId="0" fillId="0" borderId="29" xfId="0" applyFill="1" applyBorder="1" applyAlignment="1" applyProtection="1">
      <alignment/>
      <protection/>
    </xf>
    <xf numFmtId="0" fontId="11" fillId="0" borderId="29" xfId="0" applyFont="1" applyFill="1" applyBorder="1" applyAlignment="1" applyProtection="1">
      <alignment horizontal="center"/>
      <protection hidden="1"/>
    </xf>
    <xf numFmtId="0" fontId="0" fillId="0" borderId="29" xfId="0" applyFill="1" applyBorder="1" applyAlignment="1" applyProtection="1">
      <alignment horizontal="center"/>
      <protection hidden="1"/>
    </xf>
    <xf numFmtId="0" fontId="0" fillId="0" borderId="29" xfId="0" applyFill="1" applyBorder="1" applyAlignment="1" applyProtection="1">
      <alignment shrinkToFit="1"/>
      <protection hidden="1"/>
    </xf>
    <xf numFmtId="0" fontId="0" fillId="0" borderId="29" xfId="0" applyFill="1" applyBorder="1" applyAlignment="1" applyProtection="1">
      <alignment/>
      <protection locked="0"/>
    </xf>
    <xf numFmtId="0" fontId="0" fillId="0" borderId="29" xfId="0" applyFill="1" applyBorder="1" applyAlignment="1" applyProtection="1">
      <alignment horizontal="center"/>
      <protection/>
    </xf>
    <xf numFmtId="0" fontId="0" fillId="0" borderId="0" xfId="0" applyFill="1" applyAlignment="1" applyProtection="1">
      <alignment/>
      <protection hidden="1"/>
    </xf>
    <xf numFmtId="0" fontId="0" fillId="0" borderId="29" xfId="0" applyFill="1" applyBorder="1" applyAlignment="1">
      <alignment/>
    </xf>
    <xf numFmtId="0" fontId="0" fillId="0" borderId="29" xfId="0" applyFill="1" applyBorder="1" applyAlignment="1" applyProtection="1">
      <alignment/>
      <protection hidden="1"/>
    </xf>
    <xf numFmtId="0" fontId="0" fillId="0" borderId="29" xfId="0" applyFill="1" applyBorder="1" applyAlignment="1" applyProtection="1">
      <alignment/>
      <protection hidden="1"/>
    </xf>
    <xf numFmtId="0" fontId="0" fillId="0" borderId="29" xfId="0" applyFill="1" applyBorder="1" applyAlignment="1">
      <alignment horizontal="center"/>
    </xf>
    <xf numFmtId="0" fontId="0" fillId="0" borderId="0" xfId="0" applyFill="1" applyAlignment="1">
      <alignment horizontal="center" wrapText="1"/>
    </xf>
    <xf numFmtId="0" fontId="0" fillId="0" borderId="29" xfId="0" applyFill="1" applyBorder="1" applyAlignment="1">
      <alignment horizontal="center" wrapText="1"/>
    </xf>
    <xf numFmtId="0" fontId="6" fillId="34" borderId="0" xfId="0" applyFont="1" applyFill="1" applyBorder="1" applyAlignment="1" applyProtection="1">
      <alignment horizontal="center" vertical="center" wrapText="1"/>
      <protection/>
    </xf>
    <xf numFmtId="0" fontId="6" fillId="34" borderId="0" xfId="0" applyFont="1" applyFill="1" applyAlignment="1" applyProtection="1">
      <alignment horizontal="center" vertical="center" wrapText="1"/>
      <protection/>
    </xf>
    <xf numFmtId="0" fontId="6" fillId="34" borderId="0" xfId="0" applyFont="1" applyFill="1" applyAlignment="1" applyProtection="1">
      <alignment horizontal="center"/>
      <protection/>
    </xf>
    <xf numFmtId="0" fontId="3" fillId="34" borderId="0" xfId="0" applyFont="1" applyFill="1" applyAlignment="1" applyProtection="1">
      <alignment horizontal="center"/>
      <protection/>
    </xf>
    <xf numFmtId="0" fontId="3" fillId="34" borderId="0" xfId="0" applyFont="1" applyFill="1" applyAlignment="1" applyProtection="1">
      <alignment/>
      <protection/>
    </xf>
    <xf numFmtId="0" fontId="3" fillId="34"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0" fillId="34" borderId="0" xfId="0" applyFill="1" applyAlignment="1">
      <alignment/>
    </xf>
    <xf numFmtId="0" fontId="33" fillId="34" borderId="0" xfId="0"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0" fontId="37" fillId="35" borderId="22" xfId="0" applyFont="1"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11" xfId="0" applyFill="1" applyBorder="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0" fontId="3" fillId="34" borderId="0" xfId="0" applyFont="1" applyFill="1" applyBorder="1" applyAlignment="1">
      <alignment/>
    </xf>
    <xf numFmtId="0" fontId="3" fillId="34" borderId="0" xfId="0" applyFont="1" applyFill="1" applyAlignment="1">
      <alignment/>
    </xf>
    <xf numFmtId="0" fontId="0" fillId="34" borderId="11"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0" xfId="0" applyFill="1" applyBorder="1" applyAlignment="1">
      <alignment/>
    </xf>
    <xf numFmtId="0" fontId="0" fillId="34" borderId="0" xfId="0" applyFill="1" applyAlignment="1">
      <alignment horizontal="center"/>
    </xf>
    <xf numFmtId="0" fontId="0" fillId="34" borderId="11" xfId="0" applyFill="1" applyBorder="1" applyAlignment="1">
      <alignment/>
    </xf>
    <xf numFmtId="0" fontId="0" fillId="34" borderId="0" xfId="0" applyFill="1" applyAlignment="1">
      <alignment horizontal="center" wrapText="1"/>
    </xf>
    <xf numFmtId="3" fontId="0" fillId="38" borderId="0" xfId="0" applyNumberFormat="1" applyFont="1" applyFill="1" applyBorder="1" applyAlignment="1" applyProtection="1">
      <alignment horizontal="center"/>
      <protection hidden="1"/>
    </xf>
    <xf numFmtId="3" fontId="0" fillId="38" borderId="0" xfId="0" applyNumberFormat="1" applyFont="1" applyFill="1" applyBorder="1" applyAlignment="1" applyProtection="1">
      <alignment horizontal="center" wrapText="1"/>
      <protection hidden="1"/>
    </xf>
    <xf numFmtId="3" fontId="0" fillId="38" borderId="12" xfId="0" applyNumberFormat="1" applyFont="1" applyFill="1" applyBorder="1" applyAlignment="1" applyProtection="1">
      <alignment horizontal="center" wrapText="1"/>
      <protection hidden="1"/>
    </xf>
    <xf numFmtId="0" fontId="3" fillId="39" borderId="44" xfId="0" applyFont="1" applyFill="1" applyBorder="1" applyAlignment="1" applyProtection="1">
      <alignment horizontal="center" vertical="center" wrapText="1"/>
      <protection hidden="1"/>
    </xf>
    <xf numFmtId="0" fontId="3" fillId="39" borderId="21" xfId="0" applyFont="1" applyFill="1" applyBorder="1" applyAlignment="1" applyProtection="1">
      <alignment horizontal="center" vertical="center" wrapText="1"/>
      <protection hidden="1"/>
    </xf>
    <xf numFmtId="0" fontId="0" fillId="0" borderId="0" xfId="0" applyFont="1" applyFill="1" applyBorder="1" applyAlignment="1" applyProtection="1">
      <alignment/>
      <protection hidden="1"/>
    </xf>
    <xf numFmtId="0" fontId="54" fillId="33" borderId="0" xfId="0" applyFont="1" applyFill="1" applyAlignment="1">
      <alignment horizontal="center"/>
    </xf>
    <xf numFmtId="0" fontId="11" fillId="38" borderId="0" xfId="0" applyFont="1" applyFill="1" applyBorder="1" applyAlignment="1" applyProtection="1">
      <alignment horizontal="left" shrinkToFit="1"/>
      <protection hidden="1"/>
    </xf>
    <xf numFmtId="0" fontId="0" fillId="38" borderId="0" xfId="0" applyFont="1" applyFill="1" applyBorder="1" applyAlignment="1" applyProtection="1">
      <alignment horizontal="left" shrinkToFit="1"/>
      <protection hidden="1"/>
    </xf>
    <xf numFmtId="0" fontId="0" fillId="38" borderId="0" xfId="0" applyFill="1" applyBorder="1" applyAlignment="1" applyProtection="1">
      <alignment horizontal="left" shrinkToFit="1"/>
      <protection hidden="1"/>
    </xf>
    <xf numFmtId="0" fontId="22" fillId="39" borderId="47" xfId="0" applyFont="1" applyFill="1" applyBorder="1" applyAlignment="1" applyProtection="1">
      <alignment horizontal="center" vertical="center" shrinkToFit="1"/>
      <protection hidden="1"/>
    </xf>
    <xf numFmtId="0" fontId="0" fillId="39" borderId="42" xfId="0" applyFill="1" applyBorder="1" applyAlignment="1">
      <alignment horizontal="center" vertical="center" shrinkToFit="1"/>
    </xf>
    <xf numFmtId="0" fontId="0" fillId="39" borderId="48" xfId="0" applyFill="1" applyBorder="1" applyAlignment="1">
      <alignment horizontal="center" vertical="center" shrinkToFit="1"/>
    </xf>
    <xf numFmtId="0" fontId="22" fillId="0" borderId="49" xfId="0" applyFont="1" applyFill="1" applyBorder="1" applyAlignment="1" applyProtection="1">
      <alignment horizontal="center" vertical="center"/>
      <protection hidden="1"/>
    </xf>
    <xf numFmtId="0" fontId="22" fillId="0" borderId="5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0" borderId="51" xfId="0" applyFont="1" applyFill="1" applyBorder="1" applyAlignment="1" applyProtection="1">
      <alignment horizontal="center" vertical="center"/>
      <protection hidden="1"/>
    </xf>
    <xf numFmtId="0" fontId="22" fillId="0" borderId="29" xfId="0" applyFont="1" applyFill="1" applyBorder="1" applyAlignment="1" applyProtection="1">
      <alignment horizontal="center" vertical="center"/>
      <protection hidden="1"/>
    </xf>
    <xf numFmtId="0" fontId="22" fillId="0" borderId="32" xfId="0" applyFont="1" applyFill="1" applyBorder="1" applyAlignment="1" applyProtection="1">
      <alignment horizontal="center" vertical="center"/>
      <protection hidden="1"/>
    </xf>
    <xf numFmtId="0" fontId="0" fillId="0" borderId="52" xfId="0" applyFont="1" applyBorder="1" applyAlignment="1" applyProtection="1">
      <alignment horizontal="center" vertical="center" wrapText="1"/>
      <protection hidden="1"/>
    </xf>
    <xf numFmtId="0" fontId="0" fillId="0" borderId="46"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protection hidden="1"/>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10"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2" fillId="34" borderId="21" xfId="0" applyFont="1" applyFill="1" applyBorder="1" applyAlignment="1" applyProtection="1">
      <alignment horizontal="center" vertical="center" shrinkToFit="1"/>
      <protection hidden="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20" fillId="39" borderId="53" xfId="0" applyFont="1" applyFill="1" applyBorder="1" applyAlignment="1" applyProtection="1">
      <alignment horizontal="center" vertical="center" wrapText="1"/>
      <protection hidden="1"/>
    </xf>
    <xf numFmtId="0" fontId="20" fillId="39" borderId="31" xfId="0" applyFont="1" applyFill="1" applyBorder="1" applyAlignment="1">
      <alignment horizontal="center" vertical="center"/>
    </xf>
    <xf numFmtId="0" fontId="23" fillId="39" borderId="54" xfId="0" applyFont="1" applyFill="1" applyBorder="1" applyAlignment="1" applyProtection="1">
      <alignment horizontal="center" vertical="center" wrapText="1"/>
      <protection hidden="1"/>
    </xf>
    <xf numFmtId="0" fontId="0" fillId="39" borderId="55" xfId="0" applyFill="1" applyBorder="1" applyAlignment="1">
      <alignment/>
    </xf>
    <xf numFmtId="0" fontId="23" fillId="39" borderId="56" xfId="0" applyFont="1" applyFill="1" applyBorder="1" applyAlignment="1" applyProtection="1">
      <alignment horizontal="center"/>
      <protection hidden="1"/>
    </xf>
    <xf numFmtId="0" fontId="0" fillId="39" borderId="52" xfId="0" applyFill="1" applyBorder="1" applyAlignment="1">
      <alignment horizontal="center"/>
    </xf>
    <xf numFmtId="0" fontId="0" fillId="39" borderId="46" xfId="0" applyFill="1" applyBorder="1" applyAlignment="1">
      <alignment horizontal="center"/>
    </xf>
    <xf numFmtId="0" fontId="26" fillId="39" borderId="57" xfId="0" applyFont="1" applyFill="1" applyBorder="1" applyAlignment="1" applyProtection="1">
      <alignment horizontal="center" vertical="center" textRotation="90"/>
      <protection hidden="1"/>
    </xf>
    <xf numFmtId="0" fontId="0" fillId="39" borderId="26" xfId="0" applyFill="1" applyBorder="1" applyAlignment="1">
      <alignment/>
    </xf>
    <xf numFmtId="0" fontId="26" fillId="39" borderId="58" xfId="0" applyFont="1" applyFill="1" applyBorder="1" applyAlignment="1" applyProtection="1">
      <alignment horizontal="center" vertical="center" textRotation="90" wrapText="1"/>
      <protection hidden="1"/>
    </xf>
    <xf numFmtId="0" fontId="0" fillId="39" borderId="28" xfId="0" applyFill="1" applyBorder="1" applyAlignment="1">
      <alignment/>
    </xf>
    <xf numFmtId="0" fontId="23" fillId="39" borderId="49" xfId="0" applyFont="1" applyFill="1" applyBorder="1" applyAlignment="1" applyProtection="1">
      <alignment horizontal="center"/>
      <protection hidden="1"/>
    </xf>
    <xf numFmtId="0" fontId="0" fillId="39" borderId="49" xfId="0" applyFill="1" applyBorder="1" applyAlignment="1">
      <alignment horizontal="center"/>
    </xf>
    <xf numFmtId="0" fontId="23" fillId="39" borderId="59" xfId="0" applyFont="1" applyFill="1" applyBorder="1" applyAlignment="1" applyProtection="1">
      <alignment horizontal="center"/>
      <protection hidden="1"/>
    </xf>
    <xf numFmtId="0" fontId="0" fillId="39" borderId="50" xfId="0" applyFill="1" applyBorder="1" applyAlignment="1">
      <alignment horizontal="center"/>
    </xf>
    <xf numFmtId="0" fontId="26" fillId="39" borderId="53" xfId="0" applyFont="1" applyFill="1" applyBorder="1" applyAlignment="1" applyProtection="1">
      <alignment horizontal="center" vertical="center" textRotation="90" wrapText="1"/>
      <protection hidden="1"/>
    </xf>
    <xf numFmtId="0" fontId="0" fillId="39" borderId="31" xfId="0" applyFill="1" applyBorder="1" applyAlignment="1">
      <alignment/>
    </xf>
    <xf numFmtId="0" fontId="0" fillId="0" borderId="0" xfId="0" applyFill="1" applyAlignment="1">
      <alignment horizontal="center" vertical="center"/>
    </xf>
    <xf numFmtId="0" fontId="0" fillId="39" borderId="0" xfId="0" applyFont="1" applyFill="1" applyBorder="1" applyAlignment="1" applyProtection="1">
      <alignment horizontal="left" vertical="center"/>
      <protection hidden="1"/>
    </xf>
    <xf numFmtId="0" fontId="0" fillId="39" borderId="0" xfId="0" applyFont="1" applyFill="1" applyBorder="1" applyAlignment="1" applyProtection="1">
      <alignment horizontal="center" vertical="center"/>
      <protection hidden="1"/>
    </xf>
    <xf numFmtId="0" fontId="0" fillId="39" borderId="12"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protection hidden="1"/>
    </xf>
    <xf numFmtId="0" fontId="0" fillId="0" borderId="16" xfId="0" applyBorder="1" applyAlignment="1">
      <alignment horizontal="center"/>
    </xf>
    <xf numFmtId="0" fontId="0" fillId="0" borderId="21" xfId="58" applyBorder="1" applyAlignment="1" applyProtection="1">
      <alignment horizontal="center" vertical="center"/>
      <protection hidden="1"/>
    </xf>
    <xf numFmtId="0" fontId="0" fillId="0" borderId="23" xfId="58" applyBorder="1" applyAlignment="1" applyProtection="1">
      <alignment horizontal="center" vertical="center"/>
      <protection hidden="1"/>
    </xf>
    <xf numFmtId="0" fontId="0" fillId="0" borderId="21" xfId="58" applyBorder="1" applyAlignment="1" applyProtection="1">
      <alignment horizontal="center"/>
      <protection hidden="1"/>
    </xf>
    <xf numFmtId="0" fontId="0" fillId="0" borderId="22" xfId="58" applyBorder="1" applyAlignment="1" applyProtection="1">
      <alignment horizontal="center"/>
      <protection hidden="1"/>
    </xf>
    <xf numFmtId="0" fontId="0" fillId="0" borderId="23" xfId="58" applyBorder="1" applyAlignment="1" applyProtection="1">
      <alignment horizontal="center"/>
      <protection hidden="1"/>
    </xf>
    <xf numFmtId="0" fontId="12" fillId="0" borderId="21" xfId="58" applyFont="1" applyBorder="1" applyAlignment="1" applyProtection="1">
      <alignment horizontal="center"/>
      <protection hidden="1"/>
    </xf>
    <xf numFmtId="0" fontId="12" fillId="0" borderId="22" xfId="58" applyFont="1" applyBorder="1" applyAlignment="1" applyProtection="1">
      <alignment horizontal="center"/>
      <protection hidden="1"/>
    </xf>
    <xf numFmtId="0" fontId="12" fillId="0" borderId="23" xfId="58" applyFont="1" applyBorder="1" applyAlignment="1" applyProtection="1">
      <alignment horizontal="center"/>
      <protection hidden="1"/>
    </xf>
    <xf numFmtId="0" fontId="12" fillId="0" borderId="0" xfId="58" applyFont="1" applyBorder="1" applyAlignment="1" applyProtection="1">
      <alignment horizontal="center"/>
      <protection hidden="1"/>
    </xf>
    <xf numFmtId="0" fontId="0" fillId="0" borderId="22" xfId="58" applyBorder="1" applyAlignment="1" applyProtection="1">
      <alignment horizontal="center" vertical="center"/>
      <protection hidden="1"/>
    </xf>
    <xf numFmtId="0" fontId="0" fillId="0" borderId="44" xfId="58" applyBorder="1" applyAlignment="1" applyProtection="1">
      <alignment horizontal="center"/>
      <protection hidden="1"/>
    </xf>
    <xf numFmtId="0" fontId="0" fillId="0" borderId="10" xfId="58" applyBorder="1" applyAlignment="1" applyProtection="1">
      <alignment horizontal="center"/>
      <protection hidden="1"/>
    </xf>
    <xf numFmtId="0" fontId="0" fillId="0" borderId="11" xfId="58" applyBorder="1" applyAlignment="1" applyProtection="1">
      <alignment horizontal="center"/>
      <protection hidden="1"/>
    </xf>
    <xf numFmtId="0" fontId="0" fillId="0" borderId="12" xfId="58" applyBorder="1" applyAlignment="1" applyProtection="1">
      <alignment horizontal="center"/>
      <protection hidden="1"/>
    </xf>
    <xf numFmtId="0" fontId="0" fillId="0" borderId="14" xfId="58" applyBorder="1" applyAlignment="1" applyProtection="1">
      <alignment horizontal="center"/>
      <protection hidden="1"/>
    </xf>
    <xf numFmtId="0" fontId="0" fillId="0" borderId="13" xfId="58" applyBorder="1" applyAlignment="1" applyProtection="1">
      <alignment horizontal="center"/>
      <protection hidden="1"/>
    </xf>
    <xf numFmtId="0" fontId="0" fillId="0" borderId="21" xfId="58" applyFont="1" applyBorder="1" applyAlignment="1" applyProtection="1">
      <alignment horizontal="center"/>
      <protection hidden="1"/>
    </xf>
    <xf numFmtId="0" fontId="0" fillId="0" borderId="23" xfId="58" applyFont="1" applyBorder="1" applyAlignment="1" applyProtection="1">
      <alignment horizontal="center"/>
      <protection hidden="1"/>
    </xf>
    <xf numFmtId="0" fontId="11" fillId="0" borderId="21" xfId="58" applyFont="1" applyBorder="1" applyAlignment="1" applyProtection="1">
      <alignment horizontal="center"/>
      <protection hidden="1"/>
    </xf>
    <xf numFmtId="0" fontId="11" fillId="0" borderId="23" xfId="58" applyFont="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Dokumentacija za provođenje natjecanja"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DDDD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UDIO SEKTORA U UKUPNOM ULOVU</a:t>
            </a:r>
          </a:p>
        </c:rich>
      </c:tx>
      <c:layout>
        <c:manualLayout>
          <c:xMode val="factor"/>
          <c:yMode val="factor"/>
          <c:x val="0.006"/>
          <c:y val="0"/>
        </c:manualLayout>
      </c:layout>
      <c:spPr>
        <a:noFill/>
        <a:ln>
          <a:noFill/>
        </a:ln>
      </c:spPr>
    </c:title>
    <c:view3D>
      <c:rotX val="15"/>
      <c:hPercent val="100"/>
      <c:rotY val="0"/>
      <c:depthPercent val="100"/>
      <c:rAngAx val="1"/>
    </c:view3D>
    <c:plotArea>
      <c:layout>
        <c:manualLayout>
          <c:xMode val="edge"/>
          <c:yMode val="edge"/>
          <c:x val="0.2305"/>
          <c:y val="0.38325"/>
          <c:w val="0.47425"/>
          <c:h val="0.363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Lit>
              <c:ptCount val="5"/>
              <c:pt idx="0">
                <c:v>A</c:v>
              </c:pt>
              <c:pt idx="1">
                <c:v>B</c:v>
              </c:pt>
              <c:pt idx="2">
                <c:v>C</c:v>
              </c:pt>
              <c:pt idx="3">
                <c:v>D</c:v>
              </c:pt>
              <c:pt idx="4">
                <c:v>E</c:v>
              </c:pt>
            </c:strLit>
          </c:cat>
          <c:val>
            <c:numRef>
              <c:f>('Analiza natjecanja '!$U$23,'Analiza natjecanja '!$U$31,'Analiza natjecanja '!$U$37,'Analiza natjecanja '!$U$45,'Analiza natjecanja '!$U$53)</c:f>
              <c:numCache/>
            </c:numRef>
          </c:val>
        </c:ser>
      </c:pie3DChart>
      <c:spPr>
        <a:noFill/>
        <a:ln>
          <a:noFill/>
        </a:ln>
      </c:spPr>
    </c:plotArea>
    <c:legend>
      <c:legendPos val="r"/>
      <c:layout>
        <c:manualLayout>
          <c:xMode val="edge"/>
          <c:yMode val="edge"/>
          <c:x val="0.937"/>
          <c:y val="0.37175"/>
          <c:w val="0.057"/>
          <c:h val="0.3832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ANALIZA ULOVA PO SEKTORIMA</a:t>
            </a:r>
          </a:p>
        </c:rich>
      </c:tx>
      <c:layout>
        <c:manualLayout>
          <c:xMode val="factor"/>
          <c:yMode val="factor"/>
          <c:x val="0.004"/>
          <c:y val="0"/>
        </c:manualLayout>
      </c:layout>
      <c:spPr>
        <a:noFill/>
        <a:ln>
          <a:noFill/>
        </a:ln>
      </c:spPr>
    </c:title>
    <c:view3D>
      <c:rotX val="15"/>
      <c:hPercent val="52"/>
      <c:rotY val="20"/>
      <c:depthPercent val="100"/>
      <c:rAngAx val="1"/>
    </c:view3D>
    <c:plotArea>
      <c:layout>
        <c:manualLayout>
          <c:xMode val="edge"/>
          <c:yMode val="edge"/>
          <c:x val="0"/>
          <c:y val="0.20675"/>
          <c:w val="0.88625"/>
          <c:h val="0.79325"/>
        </c:manualLayout>
      </c:layout>
      <c:bar3DChart>
        <c:barDir val="col"/>
        <c:grouping val="clustered"/>
        <c:varyColors val="0"/>
        <c:ser>
          <c:idx val="0"/>
          <c:order val="0"/>
          <c:tx>
            <c:strRef>
              <c:f>'Analiza natjecanja '!$U$61</c:f>
              <c:strCache>
                <c:ptCount val="1"/>
                <c:pt idx="0">
                  <c:v>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'!$U$63:$U$66</c:f>
              <c:numCache/>
            </c:numRef>
          </c:val>
          <c:shape val="box"/>
        </c:ser>
        <c:ser>
          <c:idx val="1"/>
          <c:order val="1"/>
          <c:tx>
            <c:strRef>
              <c:f>'Analiza natjecanja '!$V$61</c:f>
              <c:strCache>
                <c:ptCount val="1"/>
                <c:pt idx="0">
                  <c:v>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'!$V$63:$V$66</c:f>
              <c:numCache/>
            </c:numRef>
          </c:val>
          <c:shape val="box"/>
        </c:ser>
        <c:ser>
          <c:idx val="2"/>
          <c:order val="2"/>
          <c:tx>
            <c:strRef>
              <c:f>'Analiza natjecanja '!$W$61</c:f>
              <c:strCache>
                <c:ptCount val="1"/>
                <c:pt idx="0">
                  <c:v>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'!$W$63:$W$66</c:f>
              <c:numCache/>
            </c:numRef>
          </c:val>
          <c:shape val="box"/>
        </c:ser>
        <c:ser>
          <c:idx val="3"/>
          <c:order val="3"/>
          <c:tx>
            <c:strRef>
              <c:f>'Analiza natjecanja '!$X$61</c:f>
              <c:strCache>
                <c:ptCount val="1"/>
                <c:pt idx="0">
                  <c:v>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'!$X$63:$X$66</c:f>
              <c:numCache/>
            </c:numRef>
          </c:val>
          <c:shape val="box"/>
        </c:ser>
        <c:ser>
          <c:idx val="4"/>
          <c:order val="4"/>
          <c:tx>
            <c:strRef>
              <c:f>'Analiza natjecanja '!$Y$61</c:f>
              <c:strCache>
                <c:ptCount val="1"/>
                <c:pt idx="0">
                  <c:v>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1"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'Analiza natjecanja '!$S$63:$S$66</c:f>
              <c:strCache/>
            </c:strRef>
          </c:cat>
          <c:val>
            <c:numRef>
              <c:f>'Analiza natjecanja '!$Y$63:$Y$66</c:f>
              <c:numCache/>
            </c:numRef>
          </c:val>
          <c:shape val="box"/>
        </c:ser>
        <c:gapWidth val="100"/>
        <c:shape val="box"/>
        <c:axId val="63991032"/>
        <c:axId val="39048377"/>
      </c:bar3DChart>
      <c:catAx>
        <c:axId val="6399103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9048377"/>
        <c:crosses val="autoZero"/>
        <c:auto val="1"/>
        <c:lblOffset val="100"/>
        <c:tickLblSkip val="1"/>
        <c:noMultiLvlLbl val="0"/>
      </c:catAx>
      <c:valAx>
        <c:axId val="39048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91032"/>
        <c:crossesAt val="1"/>
        <c:crossBetween val="between"/>
        <c:dispUnits/>
      </c:valAx>
      <c:spPr>
        <a:noFill/>
        <a:ln>
          <a:noFill/>
        </a:ln>
      </c:spPr>
    </c:plotArea>
    <c:legend>
      <c:legendPos val="r"/>
      <c:layout>
        <c:manualLayout>
          <c:xMode val="edge"/>
          <c:yMode val="edge"/>
          <c:x val="0.937"/>
          <c:y val="0.38975"/>
          <c:w val="0.057"/>
          <c:h val="0.35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3625"/>
          <c:h val="0.98425"/>
        </c:manualLayout>
      </c:layout>
      <c:barChart>
        <c:barDir val="bar"/>
        <c:grouping val="clustered"/>
        <c:varyColors val="0"/>
        <c:ser>
          <c:idx val="0"/>
          <c:order val="0"/>
          <c:tx>
            <c:v>A</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težine'!$D$3:$D$14</c:f>
              <c:numCache/>
            </c:numRef>
          </c:val>
        </c:ser>
        <c:ser>
          <c:idx val="1"/>
          <c:order val="1"/>
          <c:tx>
            <c:v>B</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težine'!$F$3:$F$14</c:f>
              <c:numCache/>
            </c:numRef>
          </c:val>
        </c:ser>
        <c:ser>
          <c:idx val="2"/>
          <c:order val="2"/>
          <c:tx>
            <c:v>C</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težine'!$H$3:$H$14</c:f>
              <c:numCache/>
            </c:numRef>
          </c:val>
        </c:ser>
        <c:ser>
          <c:idx val="3"/>
          <c:order val="3"/>
          <c:tx>
            <c:v>D</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težine'!$J$3:$J$14</c:f>
              <c:numCache/>
            </c:numRef>
          </c:val>
        </c:ser>
        <c:ser>
          <c:idx val="4"/>
          <c:order val="4"/>
          <c:tx>
            <c:v>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25" b="0" i="0" u="none" baseline="0">
                    <a:solidFill>
                      <a:srgbClr val="000000"/>
                    </a:solidFill>
                    <a:latin typeface="Arial"/>
                    <a:ea typeface="Arial"/>
                    <a:cs typeface="Arial"/>
                  </a:defRPr>
                </a:pPr>
              </a:p>
            </c:txPr>
            <c:showLegendKey val="0"/>
            <c:showVal val="1"/>
            <c:showBubbleSize val="0"/>
            <c:showCatName val="0"/>
            <c:showSerName val="0"/>
            <c:showPercent val="0"/>
          </c:dLbls>
          <c:val>
            <c:numRef>
              <c:f>'Dijagram težine'!$L$3:$L$14</c:f>
              <c:numCache/>
            </c:numRef>
          </c:val>
        </c:ser>
        <c:gapWidth val="100"/>
        <c:axId val="15891074"/>
        <c:axId val="8801939"/>
      </c:barChart>
      <c:catAx>
        <c:axId val="15891074"/>
        <c:scaling>
          <c:orientation val="maxMin"/>
        </c:scaling>
        <c:axPos val="l"/>
        <c:majorGridlines>
          <c:spPr>
            <a:ln w="3175">
              <a:solidFill>
                <a:srgbClr val="000000"/>
              </a:solidFill>
            </a:ln>
          </c:spPr>
        </c:majorGridlines>
        <c:delete val="1"/>
        <c:majorTickMark val="out"/>
        <c:minorTickMark val="none"/>
        <c:tickLblPos val="nextTo"/>
        <c:crossAx val="8801939"/>
        <c:crosses val="autoZero"/>
        <c:auto val="1"/>
        <c:lblOffset val="100"/>
        <c:tickLblSkip val="1"/>
        <c:noMultiLvlLbl val="0"/>
      </c:catAx>
      <c:valAx>
        <c:axId val="880193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15891074"/>
        <c:crossesAt val="1"/>
        <c:crossBetween val="between"/>
        <c:dispUnits/>
      </c:valAx>
      <c:spPr>
        <a:noFill/>
        <a:ln>
          <a:noFill/>
        </a:ln>
      </c:spPr>
    </c:plotArea>
    <c:legend>
      <c:legendPos val="r"/>
      <c:layout>
        <c:manualLayout>
          <c:xMode val="edge"/>
          <c:yMode val="edge"/>
          <c:x val="0.781"/>
          <c:y val="0.2825"/>
          <c:w val="0.07575"/>
          <c:h val="0.10675"/>
        </c:manualLayout>
      </c:layout>
      <c:overlay val="0"/>
      <c:spPr>
        <a:noFill/>
        <a:ln w="3175">
          <a:no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4</xdr:row>
      <xdr:rowOff>95250</xdr:rowOff>
    </xdr:from>
    <xdr:to>
      <xdr:col>13</xdr:col>
      <xdr:colOff>400050</xdr:colOff>
      <xdr:row>12</xdr:row>
      <xdr:rowOff>85725</xdr:rowOff>
    </xdr:to>
    <xdr:pic macro="[0]!povratstanjaIliga">
      <xdr:nvPicPr>
        <xdr:cNvPr id="1" name="Picture 4" descr="grb HŠRS 2 bolji"/>
        <xdr:cNvPicPr preferRelativeResize="1">
          <a:picLocks noChangeAspect="1"/>
        </xdr:cNvPicPr>
      </xdr:nvPicPr>
      <xdr:blipFill>
        <a:blip r:embed="rId1"/>
        <a:stretch>
          <a:fillRect/>
        </a:stretch>
      </xdr:blipFill>
      <xdr:spPr>
        <a:xfrm>
          <a:off x="7905750" y="981075"/>
          <a:ext cx="1628775" cy="1590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7</xdr:col>
      <xdr:colOff>104775</xdr:colOff>
      <xdr:row>36</xdr:row>
      <xdr:rowOff>9525</xdr:rowOff>
    </xdr:to>
    <xdr:graphicFrame>
      <xdr:nvGraphicFramePr>
        <xdr:cNvPr id="1" name="Chart 6"/>
        <xdr:cNvGraphicFramePr/>
      </xdr:nvGraphicFramePr>
      <xdr:xfrm>
        <a:off x="0" y="3552825"/>
        <a:ext cx="4924425" cy="2571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7</xdr:col>
      <xdr:colOff>104775</xdr:colOff>
      <xdr:row>53</xdr:row>
      <xdr:rowOff>38100</xdr:rowOff>
    </xdr:to>
    <xdr:graphicFrame>
      <xdr:nvGraphicFramePr>
        <xdr:cNvPr id="2" name="Chart 7"/>
        <xdr:cNvGraphicFramePr/>
      </xdr:nvGraphicFramePr>
      <xdr:xfrm>
        <a:off x="0" y="6200775"/>
        <a:ext cx="4924425" cy="28956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361950</xdr:colOff>
      <xdr:row>1</xdr:row>
      <xdr:rowOff>0</xdr:rowOff>
    </xdr:from>
    <xdr:to>
      <xdr:col>7</xdr:col>
      <xdr:colOff>457200</xdr:colOff>
      <xdr:row>5</xdr:row>
      <xdr:rowOff>142875</xdr:rowOff>
    </xdr:to>
    <xdr:pic>
      <xdr:nvPicPr>
        <xdr:cNvPr id="3" name="Picture 9" descr="grb HŠRS 3"/>
        <xdr:cNvPicPr preferRelativeResize="1">
          <a:picLocks noChangeAspect="1"/>
        </xdr:cNvPicPr>
      </xdr:nvPicPr>
      <xdr:blipFill>
        <a:blip r:embed="rId3"/>
        <a:stretch>
          <a:fillRect/>
        </a:stretch>
      </xdr:blipFill>
      <xdr:spPr>
        <a:xfrm>
          <a:off x="4467225" y="161925"/>
          <a:ext cx="80962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161925</xdr:rowOff>
    </xdr:from>
    <xdr:to>
      <xdr:col>18</xdr:col>
      <xdr:colOff>571500</xdr:colOff>
      <xdr:row>14</xdr:row>
      <xdr:rowOff>152400</xdr:rowOff>
    </xdr:to>
    <xdr:graphicFrame>
      <xdr:nvGraphicFramePr>
        <xdr:cNvPr id="1" name="Chart 2"/>
        <xdr:cNvGraphicFramePr/>
      </xdr:nvGraphicFramePr>
      <xdr:xfrm>
        <a:off x="12144375" y="161925"/>
        <a:ext cx="6000750" cy="13487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3</xdr:row>
      <xdr:rowOff>28575</xdr:rowOff>
    </xdr:from>
    <xdr:to>
      <xdr:col>2</xdr:col>
      <xdr:colOff>209550</xdr:colOff>
      <xdr:row>7</xdr:row>
      <xdr:rowOff>114300</xdr:rowOff>
    </xdr:to>
    <xdr:pic>
      <xdr:nvPicPr>
        <xdr:cNvPr id="1" name="Picture 1" descr="grb HŠRS 3"/>
        <xdr:cNvPicPr preferRelativeResize="1">
          <a:picLocks noChangeAspect="1"/>
        </xdr:cNvPicPr>
      </xdr:nvPicPr>
      <xdr:blipFill>
        <a:blip r:embed="rId1"/>
        <a:stretch>
          <a:fillRect/>
        </a:stretch>
      </xdr:blipFill>
      <xdr:spPr>
        <a:xfrm>
          <a:off x="695325" y="514350"/>
          <a:ext cx="790575" cy="800100"/>
        </a:xfrm>
        <a:prstGeom prst="rect">
          <a:avLst/>
        </a:prstGeom>
        <a:noFill/>
        <a:ln w="9525" cmpd="sng">
          <a:noFill/>
        </a:ln>
      </xdr:spPr>
    </xdr:pic>
    <xdr:clientData/>
  </xdr:twoCellAnchor>
  <xdr:twoCellAnchor editAs="oneCell">
    <xdr:from>
      <xdr:col>1</xdr:col>
      <xdr:colOff>95250</xdr:colOff>
      <xdr:row>26</xdr:row>
      <xdr:rowOff>47625</xdr:rowOff>
    </xdr:from>
    <xdr:to>
      <xdr:col>2</xdr:col>
      <xdr:colOff>209550</xdr:colOff>
      <xdr:row>30</xdr:row>
      <xdr:rowOff>123825</xdr:rowOff>
    </xdr:to>
    <xdr:pic>
      <xdr:nvPicPr>
        <xdr:cNvPr id="2" name="Picture 2" descr="grb HŠRS 3"/>
        <xdr:cNvPicPr preferRelativeResize="1">
          <a:picLocks noChangeAspect="1"/>
        </xdr:cNvPicPr>
      </xdr:nvPicPr>
      <xdr:blipFill>
        <a:blip r:embed="rId1"/>
        <a:stretch>
          <a:fillRect/>
        </a:stretch>
      </xdr:blipFill>
      <xdr:spPr>
        <a:xfrm>
          <a:off x="704850" y="5781675"/>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666750</xdr:colOff>
      <xdr:row>0</xdr:row>
      <xdr:rowOff>28575</xdr:rowOff>
    </xdr:from>
    <xdr:to>
      <xdr:col>18</xdr:col>
      <xdr:colOff>876300</xdr:colOff>
      <xdr:row>0</xdr:row>
      <xdr:rowOff>228600</xdr:rowOff>
    </xdr:to>
    <xdr:pic macro="[0]!jedinstvenistartnibrojIliga">
      <xdr:nvPicPr>
        <xdr:cNvPr id="1" name="Picture 23" descr="grb HŠRS 3"/>
        <xdr:cNvPicPr preferRelativeResize="1">
          <a:picLocks noChangeAspect="1"/>
        </xdr:cNvPicPr>
      </xdr:nvPicPr>
      <xdr:blipFill>
        <a:blip r:embed="rId1"/>
        <a:stretch>
          <a:fillRect/>
        </a:stretch>
      </xdr:blipFill>
      <xdr:spPr>
        <a:xfrm>
          <a:off x="9925050" y="28575"/>
          <a:ext cx="209550" cy="200025"/>
        </a:xfrm>
        <a:prstGeom prst="rect">
          <a:avLst/>
        </a:prstGeom>
        <a:noFill/>
        <a:ln w="9525" cmpd="sng">
          <a:noFill/>
        </a:ln>
      </xdr:spPr>
    </xdr:pic>
    <xdr:clientData/>
  </xdr:twoCellAnchor>
  <xdr:twoCellAnchor editAs="oneCell">
    <xdr:from>
      <xdr:col>25</xdr:col>
      <xdr:colOff>47625</xdr:colOff>
      <xdr:row>0</xdr:row>
      <xdr:rowOff>47625</xdr:rowOff>
    </xdr:from>
    <xdr:to>
      <xdr:col>25</xdr:col>
      <xdr:colOff>238125</xdr:colOff>
      <xdr:row>0</xdr:row>
      <xdr:rowOff>228600</xdr:rowOff>
    </xdr:to>
    <xdr:pic macro="[0]!startnibrojprekidstazeIliga">
      <xdr:nvPicPr>
        <xdr:cNvPr id="2" name="Picture 24" descr="grb HŠRS 3"/>
        <xdr:cNvPicPr preferRelativeResize="1">
          <a:picLocks noChangeAspect="1"/>
        </xdr:cNvPicPr>
      </xdr:nvPicPr>
      <xdr:blipFill>
        <a:blip r:embed="rId1"/>
        <a:stretch>
          <a:fillRect/>
        </a:stretch>
      </xdr:blipFill>
      <xdr:spPr>
        <a:xfrm>
          <a:off x="10668000" y="47625"/>
          <a:ext cx="190500" cy="180975"/>
        </a:xfrm>
        <a:prstGeom prst="rect">
          <a:avLst/>
        </a:prstGeom>
        <a:noFill/>
        <a:ln w="9525" cmpd="sng">
          <a:noFill/>
        </a:ln>
      </xdr:spPr>
    </xdr:pic>
    <xdr:clientData/>
  </xdr:twoCellAnchor>
  <xdr:twoCellAnchor editAs="oneCell">
    <xdr:from>
      <xdr:col>2</xdr:col>
      <xdr:colOff>47625</xdr:colOff>
      <xdr:row>0</xdr:row>
      <xdr:rowOff>38100</xdr:rowOff>
    </xdr:from>
    <xdr:to>
      <xdr:col>2</xdr:col>
      <xdr:colOff>257175</xdr:colOff>
      <xdr:row>0</xdr:row>
      <xdr:rowOff>238125</xdr:rowOff>
    </xdr:to>
    <xdr:pic macro="[0]!prijavaekipa">
      <xdr:nvPicPr>
        <xdr:cNvPr id="3" name="Picture 55" descr="grb HŠRS 3"/>
        <xdr:cNvPicPr preferRelativeResize="1">
          <a:picLocks noChangeAspect="1"/>
        </xdr:cNvPicPr>
      </xdr:nvPicPr>
      <xdr:blipFill>
        <a:blip r:embed="rId1"/>
        <a:stretch>
          <a:fillRect/>
        </a:stretch>
      </xdr:blipFill>
      <xdr:spPr>
        <a:xfrm>
          <a:off x="1304925" y="38100"/>
          <a:ext cx="209550" cy="200025"/>
        </a:xfrm>
        <a:prstGeom prst="rect">
          <a:avLst/>
        </a:prstGeom>
        <a:noFill/>
        <a:ln w="9525" cmpd="sng">
          <a:noFill/>
        </a:ln>
      </xdr:spPr>
    </xdr:pic>
    <xdr:clientData/>
  </xdr:twoCellAnchor>
  <xdr:twoCellAnchor editAs="oneCell">
    <xdr:from>
      <xdr:col>2</xdr:col>
      <xdr:colOff>1009650</xdr:colOff>
      <xdr:row>0</xdr:row>
      <xdr:rowOff>38100</xdr:rowOff>
    </xdr:from>
    <xdr:to>
      <xdr:col>2</xdr:col>
      <xdr:colOff>1200150</xdr:colOff>
      <xdr:row>0</xdr:row>
      <xdr:rowOff>228600</xdr:rowOff>
    </xdr:to>
    <xdr:pic macro="[0]!izvlačenjebrojeva">
      <xdr:nvPicPr>
        <xdr:cNvPr id="4" name="Picture 56" descr="grb HŠRS 3"/>
        <xdr:cNvPicPr preferRelativeResize="1">
          <a:picLocks noChangeAspect="1"/>
        </xdr:cNvPicPr>
      </xdr:nvPicPr>
      <xdr:blipFill>
        <a:blip r:embed="rId1"/>
        <a:stretch>
          <a:fillRect/>
        </a:stretch>
      </xdr:blipFill>
      <xdr:spPr>
        <a:xfrm>
          <a:off x="2266950" y="38100"/>
          <a:ext cx="1905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xdr:row>
      <xdr:rowOff>0</xdr:rowOff>
    </xdr:from>
    <xdr:to>
      <xdr:col>8</xdr:col>
      <xdr:colOff>390525</xdr:colOff>
      <xdr:row>5</xdr:row>
      <xdr:rowOff>152400</xdr:rowOff>
    </xdr:to>
    <xdr:pic>
      <xdr:nvPicPr>
        <xdr:cNvPr id="1" name="Picture 14" descr="grb HŠRS 3"/>
        <xdr:cNvPicPr preferRelativeResize="1">
          <a:picLocks noChangeAspect="1"/>
        </xdr:cNvPicPr>
      </xdr:nvPicPr>
      <xdr:blipFill>
        <a:blip r:embed="rId1"/>
        <a:stretch>
          <a:fillRect/>
        </a:stretch>
      </xdr:blipFill>
      <xdr:spPr>
        <a:xfrm>
          <a:off x="4438650" y="161925"/>
          <a:ext cx="81915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314325</xdr:rowOff>
    </xdr:from>
    <xdr:to>
      <xdr:col>0</xdr:col>
      <xdr:colOff>514350</xdr:colOff>
      <xdr:row>0</xdr:row>
      <xdr:rowOff>2924175</xdr:rowOff>
    </xdr:to>
    <xdr:pic macro="[0]!proglašenjerezultata">
      <xdr:nvPicPr>
        <xdr:cNvPr id="1" name="Picture 3" descr="grb HŠRS 3"/>
        <xdr:cNvPicPr preferRelativeResize="1">
          <a:picLocks noChangeAspect="1"/>
        </xdr:cNvPicPr>
      </xdr:nvPicPr>
      <xdr:blipFill>
        <a:blip r:embed="rId1"/>
        <a:stretch>
          <a:fillRect/>
        </a:stretch>
      </xdr:blipFill>
      <xdr:spPr>
        <a:xfrm>
          <a:off x="114300" y="314325"/>
          <a:ext cx="400050" cy="2609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66675</xdr:rowOff>
    </xdr:from>
    <xdr:to>
      <xdr:col>3</xdr:col>
      <xdr:colOff>828675</xdr:colOff>
      <xdr:row>5</xdr:row>
      <xdr:rowOff>38100</xdr:rowOff>
    </xdr:to>
    <xdr:pic macro="[0]!proglašenjerezultata">
      <xdr:nvPicPr>
        <xdr:cNvPr id="1" name="Picture 1" descr="grb HŠRS 3"/>
        <xdr:cNvPicPr preferRelativeResize="1">
          <a:picLocks noChangeAspect="1"/>
        </xdr:cNvPicPr>
      </xdr:nvPicPr>
      <xdr:blipFill>
        <a:blip r:embed="rId1"/>
        <a:stretch>
          <a:fillRect/>
        </a:stretch>
      </xdr:blipFill>
      <xdr:spPr>
        <a:xfrm>
          <a:off x="1323975" y="257175"/>
          <a:ext cx="82867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1</xdr:row>
      <xdr:rowOff>9525</xdr:rowOff>
    </xdr:from>
    <xdr:to>
      <xdr:col>5</xdr:col>
      <xdr:colOff>552450</xdr:colOff>
      <xdr:row>5</xdr:row>
      <xdr:rowOff>152400</xdr:rowOff>
    </xdr:to>
    <xdr:pic macro="[0]!sektorskiIliga">
      <xdr:nvPicPr>
        <xdr:cNvPr id="1" name="Picture 4" descr="grb HŠRS 3"/>
        <xdr:cNvPicPr preferRelativeResize="1">
          <a:picLocks noChangeAspect="1"/>
        </xdr:cNvPicPr>
      </xdr:nvPicPr>
      <xdr:blipFill>
        <a:blip r:embed="rId1"/>
        <a:stretch>
          <a:fillRect/>
        </a:stretch>
      </xdr:blipFill>
      <xdr:spPr>
        <a:xfrm>
          <a:off x="4438650" y="171450"/>
          <a:ext cx="8096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152400</xdr:rowOff>
    </xdr:from>
    <xdr:to>
      <xdr:col>5</xdr:col>
      <xdr:colOff>714375</xdr:colOff>
      <xdr:row>5</xdr:row>
      <xdr:rowOff>152400</xdr:rowOff>
    </xdr:to>
    <xdr:pic macro="[0]!ekipniIliga">
      <xdr:nvPicPr>
        <xdr:cNvPr id="1" name="Picture 7" descr="grb HŠRS 3"/>
        <xdr:cNvPicPr preferRelativeResize="1">
          <a:picLocks noChangeAspect="1"/>
        </xdr:cNvPicPr>
      </xdr:nvPicPr>
      <xdr:blipFill>
        <a:blip r:embed="rId1"/>
        <a:stretch>
          <a:fillRect/>
        </a:stretch>
      </xdr:blipFill>
      <xdr:spPr>
        <a:xfrm>
          <a:off x="4429125" y="152400"/>
          <a:ext cx="82867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152400</xdr:rowOff>
    </xdr:from>
    <xdr:to>
      <xdr:col>7</xdr:col>
      <xdr:colOff>390525</xdr:colOff>
      <xdr:row>5</xdr:row>
      <xdr:rowOff>142875</xdr:rowOff>
    </xdr:to>
    <xdr:pic macro="[0]!pojedinačniIliga">
      <xdr:nvPicPr>
        <xdr:cNvPr id="1" name="Picture 7" descr="grb HŠRS 3"/>
        <xdr:cNvPicPr preferRelativeResize="1">
          <a:picLocks noChangeAspect="1"/>
        </xdr:cNvPicPr>
      </xdr:nvPicPr>
      <xdr:blipFill>
        <a:blip r:embed="rId1"/>
        <a:stretch>
          <a:fillRect/>
        </a:stretch>
      </xdr:blipFill>
      <xdr:spPr>
        <a:xfrm>
          <a:off x="4686300" y="152400"/>
          <a:ext cx="8191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904875</xdr:colOff>
      <xdr:row>1</xdr:row>
      <xdr:rowOff>9525</xdr:rowOff>
    </xdr:from>
    <xdr:to>
      <xdr:col>6</xdr:col>
      <xdr:colOff>781050</xdr:colOff>
      <xdr:row>6</xdr:row>
      <xdr:rowOff>0</xdr:rowOff>
    </xdr:to>
    <xdr:pic macro="[0]!konačnoproglašenje">
      <xdr:nvPicPr>
        <xdr:cNvPr id="1" name="Picture 6" descr="grb HŠRS 3"/>
        <xdr:cNvPicPr preferRelativeResize="1">
          <a:picLocks noChangeAspect="1"/>
        </xdr:cNvPicPr>
      </xdr:nvPicPr>
      <xdr:blipFill>
        <a:blip r:embed="rId1"/>
        <a:stretch>
          <a:fillRect/>
        </a:stretch>
      </xdr:blipFill>
      <xdr:spPr>
        <a:xfrm>
          <a:off x="4410075" y="171450"/>
          <a:ext cx="8191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5.xml" /><Relationship Id="rId4" Type="http://schemas.openxmlformats.org/officeDocument/2006/relationships/vmlDrawing" Target="../drawings/vmlDrawing16.vml" /><Relationship Id="rId5"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8.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2.vml" /><Relationship Id="rId3" Type="http://schemas.openxmlformats.org/officeDocument/2006/relationships/drawing" Target="../drawings/drawing6.xml" /><Relationship Id="rId4"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3.vml" /><Relationship Id="rId3" Type="http://schemas.openxmlformats.org/officeDocument/2006/relationships/drawing" Target="../drawings/drawing7.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4.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5.vml" /><Relationship Id="rId3" Type="http://schemas.openxmlformats.org/officeDocument/2006/relationships/drawing" Target="../drawings/drawing8.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6.vml" /><Relationship Id="rId3" Type="http://schemas.openxmlformats.org/officeDocument/2006/relationships/drawing" Target="../drawings/drawing9.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7.vml" /><Relationship Id="rId3" Type="http://schemas.openxmlformats.org/officeDocument/2006/relationships/drawing" Target="../drawings/drawing10.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8.vml" /><Relationship Id="rId3" Type="http://schemas.openxmlformats.org/officeDocument/2006/relationships/drawing" Target="../drawings/drawing12.x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10"/>
  </sheetPr>
  <dimension ref="E2:U40"/>
  <sheetViews>
    <sheetView showGridLines="0" showRowColHeaders="0" tabSelected="1" zoomScale="88" zoomScaleNormal="88" zoomScalePageLayoutView="0" workbookViewId="0" topLeftCell="A1">
      <selection activeCell="H2" sqref="H2"/>
    </sheetView>
  </sheetViews>
  <sheetFormatPr defaultColWidth="9.140625" defaultRowHeight="12.75"/>
  <cols>
    <col min="1" max="1" width="9.140625" style="1" customWidth="1"/>
    <col min="2" max="2" width="7.8515625" style="1" customWidth="1"/>
    <col min="3" max="3" width="7.140625" style="1" customWidth="1"/>
    <col min="4" max="4" width="8.421875" style="1" customWidth="1"/>
    <col min="5" max="5" width="14.00390625" style="1" customWidth="1"/>
    <col min="6" max="6" width="8.00390625" style="1" customWidth="1"/>
    <col min="7" max="7" width="7.00390625" style="1" customWidth="1"/>
    <col min="8" max="8" width="34.57421875" style="2" customWidth="1"/>
    <col min="9" max="9" width="7.7109375" style="1" customWidth="1"/>
    <col min="10" max="10" width="6.7109375" style="1" customWidth="1"/>
    <col min="11" max="11" width="8.140625" style="1" customWidth="1"/>
    <col min="12" max="15" width="9.140625" style="1" customWidth="1"/>
    <col min="16" max="21" width="9.140625" style="1" hidden="1" customWidth="1"/>
    <col min="22" max="16384" width="9.140625" style="1" customWidth="1"/>
  </cols>
  <sheetData>
    <row r="1" ht="4.5" customHeight="1" thickBot="1"/>
    <row r="2" spans="5:8" s="3" customFormat="1" ht="30" customHeight="1" thickBot="1" thickTop="1">
      <c r="E2" s="3" t="s">
        <v>0</v>
      </c>
      <c r="H2" s="172"/>
    </row>
    <row r="3" spans="8:10" ht="12.75" customHeight="1" thickBot="1" thickTop="1">
      <c r="H3" s="4"/>
      <c r="J3" s="3"/>
    </row>
    <row r="4" spans="5:8" ht="22.5" customHeight="1" thickBot="1" thickTop="1">
      <c r="E4" s="1" t="s">
        <v>1</v>
      </c>
      <c r="H4" s="173"/>
    </row>
    <row r="5" spans="5:8" s="3" customFormat="1" ht="30" customHeight="1" thickBot="1" thickTop="1">
      <c r="E5" s="1" t="s">
        <v>2</v>
      </c>
      <c r="H5" s="174"/>
    </row>
    <row r="6" spans="5:8" s="3" customFormat="1" ht="7.5" customHeight="1" thickBot="1" thickTop="1">
      <c r="E6" s="1"/>
      <c r="H6" s="5"/>
    </row>
    <row r="7" spans="5:8" s="3" customFormat="1" ht="22.5" customHeight="1" thickBot="1" thickTop="1">
      <c r="E7" s="1" t="s">
        <v>3</v>
      </c>
      <c r="H7" s="173"/>
    </row>
    <row r="8" ht="7.5" customHeight="1" thickBot="1" thickTop="1">
      <c r="H8" s="4"/>
    </row>
    <row r="9" spans="5:21" s="3" customFormat="1" ht="22.5" customHeight="1" thickBot="1" thickTop="1">
      <c r="E9" s="1" t="s">
        <v>4</v>
      </c>
      <c r="H9" s="173"/>
      <c r="P9" s="3" t="s">
        <v>155</v>
      </c>
      <c r="Q9" s="3" t="s">
        <v>156</v>
      </c>
      <c r="R9" s="3" t="s">
        <v>157</v>
      </c>
      <c r="S9" s="3" t="s">
        <v>158</v>
      </c>
      <c r="T9" s="3" t="s">
        <v>5</v>
      </c>
      <c r="U9" s="3" t="s">
        <v>159</v>
      </c>
    </row>
    <row r="10" spans="5:8" s="3" customFormat="1" ht="7.5" customHeight="1" thickBot="1" thickTop="1">
      <c r="E10" s="1"/>
      <c r="H10" s="5"/>
    </row>
    <row r="11" spans="5:18" s="3" customFormat="1" ht="22.5" customHeight="1" thickBot="1" thickTop="1">
      <c r="E11" s="1" t="s">
        <v>6</v>
      </c>
      <c r="H11" s="173"/>
      <c r="P11" s="3" t="s">
        <v>7</v>
      </c>
      <c r="Q11" s="3" t="s">
        <v>160</v>
      </c>
      <c r="R11" s="3" t="s">
        <v>161</v>
      </c>
    </row>
    <row r="12" ht="6" customHeight="1" thickBot="1" thickTop="1">
      <c r="H12" s="4"/>
    </row>
    <row r="13" spans="5:8" s="3" customFormat="1" ht="22.5" customHeight="1" thickBot="1" thickTop="1">
      <c r="E13" s="1" t="s">
        <v>8</v>
      </c>
      <c r="H13" s="173"/>
    </row>
    <row r="14" spans="5:13" ht="30" customHeight="1" thickBot="1" thickTop="1">
      <c r="E14" s="1" t="s">
        <v>9</v>
      </c>
      <c r="H14" s="173"/>
      <c r="M14" s="468" t="s">
        <v>198</v>
      </c>
    </row>
    <row r="15" spans="5:10" ht="30" customHeight="1" thickBot="1" thickTop="1">
      <c r="E15" s="1" t="s">
        <v>10</v>
      </c>
      <c r="H15" s="4"/>
      <c r="J15" s="3"/>
    </row>
    <row r="16" spans="5:10" s="3" customFormat="1" ht="30" customHeight="1" thickBot="1" thickTop="1">
      <c r="E16" s="1" t="s">
        <v>11</v>
      </c>
      <c r="H16" s="173"/>
      <c r="J16" s="1"/>
    </row>
    <row r="17" spans="8:10" ht="7.5" customHeight="1" thickBot="1" thickTop="1">
      <c r="H17" s="4"/>
      <c r="J17" s="3"/>
    </row>
    <row r="18" spans="5:10" s="3" customFormat="1" ht="22.5" customHeight="1" thickBot="1" thickTop="1">
      <c r="E18" s="1" t="s">
        <v>12</v>
      </c>
      <c r="H18" s="173"/>
      <c r="J18" s="1"/>
    </row>
    <row r="19" spans="8:10" ht="7.5" customHeight="1" thickBot="1" thickTop="1">
      <c r="H19" s="4"/>
      <c r="J19" s="3"/>
    </row>
    <row r="20" spans="5:10" s="3" customFormat="1" ht="22.5" customHeight="1" thickBot="1" thickTop="1">
      <c r="E20" s="1" t="s">
        <v>144</v>
      </c>
      <c r="H20" s="173"/>
      <c r="J20" s="1"/>
    </row>
    <row r="21" spans="8:10" ht="7.5" customHeight="1" thickBot="1" thickTop="1">
      <c r="H21" s="4"/>
      <c r="J21" s="3"/>
    </row>
    <row r="22" spans="5:10" s="3" customFormat="1" ht="22.5" customHeight="1" thickBot="1" thickTop="1">
      <c r="E22" s="1" t="s">
        <v>13</v>
      </c>
      <c r="H22" s="173"/>
      <c r="J22" s="1"/>
    </row>
    <row r="23" spans="8:10" ht="7.5" customHeight="1" thickBot="1" thickTop="1">
      <c r="H23" s="4"/>
      <c r="J23" s="3"/>
    </row>
    <row r="24" spans="5:10" s="3" customFormat="1" ht="22.5" customHeight="1" thickBot="1" thickTop="1">
      <c r="E24" s="1" t="s">
        <v>14</v>
      </c>
      <c r="H24" s="173"/>
      <c r="J24" s="1"/>
    </row>
    <row r="25" spans="8:10" ht="7.5" customHeight="1" thickBot="1" thickTop="1">
      <c r="H25" s="4"/>
      <c r="J25" s="3"/>
    </row>
    <row r="26" spans="5:10" s="3" customFormat="1" ht="22.5" customHeight="1" thickBot="1" thickTop="1">
      <c r="E26" s="1" t="s">
        <v>15</v>
      </c>
      <c r="H26" s="173"/>
      <c r="J26" s="1"/>
    </row>
    <row r="27" ht="7.5" customHeight="1" thickBot="1" thickTop="1">
      <c r="H27" s="4"/>
    </row>
    <row r="28" spans="5:8" ht="22.5" customHeight="1" thickBot="1" thickTop="1">
      <c r="E28" s="1" t="s">
        <v>16</v>
      </c>
      <c r="H28" s="173"/>
    </row>
    <row r="29" ht="7.5" customHeight="1" thickBot="1" thickTop="1"/>
    <row r="30" spans="5:8" ht="22.5" customHeight="1" thickBot="1" thickTop="1">
      <c r="E30" s="1" t="s">
        <v>17</v>
      </c>
      <c r="H30" s="173"/>
    </row>
    <row r="31" ht="7.5" customHeight="1" thickTop="1"/>
    <row r="32" ht="12.75" hidden="1">
      <c r="H32" s="142">
        <f>IF(OR(EXACT($H$16,$H$18),EXACT($H$16,$H$20),EXACT($H$16,$H$22),EXACT($H$16,$H$24),EXACT($H$16,$H$26),EXACT($H$16,H$28),EXACT($H$16,$H$30))=TRUE,"",$H$16)</f>
      </c>
    </row>
    <row r="33" ht="12.75" hidden="1">
      <c r="H33" s="142">
        <f>IF(OR(EXACT($H$18,$H$20),EXACT($H$18,$H$22),EXACT($H$18,$H$24),EXACT($H$18,$H$26),EXACT($H$18,H$28),EXACT($H$18,$H$30))=TRUE,"",$H$18)</f>
      </c>
    </row>
    <row r="34" ht="12.75" hidden="1">
      <c r="H34" s="142">
        <f>IF(OR(EXACT($H$20,$H$22),EXACT($H$20,$H$24),EXACT($H$20,$H$26),EXACT($H$20,H$28),EXACT($H$20,$H$30))=TRUE,"",$H$20)</f>
      </c>
    </row>
    <row r="35" ht="12.75" hidden="1">
      <c r="H35" s="142">
        <f>IF(OR(EXACT($H$22,$H$24),EXACT($H$22,$H$26),EXACT($H$22,H$28),EXACT($H$22,$H$30))=TRUE,"",$H$22)</f>
      </c>
    </row>
    <row r="36" ht="12.75" hidden="1">
      <c r="H36" s="142">
        <f>IF(OR(EXACT($H$24,$H$26),EXACT($H$24,H$28),EXACT($H$24,$H$30))=TRUE,"",$H$24)</f>
      </c>
    </row>
    <row r="37" ht="12.75" hidden="1">
      <c r="H37" s="142">
        <f>IF(OR(EXACT($H$26,H$28),EXACT($H$26,$H$30))=TRUE,"",$H$26)</f>
      </c>
    </row>
    <row r="38" ht="12.75" hidden="1">
      <c r="H38" s="142">
        <f>IF(EXACT($H$28,$H$30)=TRUE,"",$H$28)</f>
      </c>
    </row>
    <row r="39" ht="12.75" hidden="1">
      <c r="H39" s="142">
        <f>IF(ISBLANK($H$30)=TRUE,"",$H$30)</f>
      </c>
    </row>
    <row r="40" ht="12.75" hidden="1">
      <c r="H40" s="142">
        <f>COUNTA($H$32:$H$39)-COUNTIF($H$32:$H$39,"")</f>
        <v>0</v>
      </c>
    </row>
  </sheetData>
  <sheetProtection password="C7E2" sheet="1" objects="1" scenarios="1"/>
  <dataValidations count="2">
    <dataValidation errorStyle="warning" type="list" allowBlank="1" showInputMessage="1" showErrorMessage="1" errorTitle="SAVJET !" error="Odabir kategorije izvršite iz padajućeg popisa !" sqref="H9">
      <formula1>$P$9:$U$9</formula1>
    </dataValidation>
    <dataValidation errorStyle="warning" type="list" allowBlank="1" showInputMessage="1" showErrorMessage="1" errorTitle="SAVJET !" error="Disciplinu odaberi iz padajućeg popisa !" sqref="H11">
      <formula1>$P$11:$R$11</formula1>
    </dataValidation>
  </dataValidations>
  <printOptions horizontalCentered="1" verticalCentered="1"/>
  <pageMargins left="0.34" right="0.5" top="0.5118110236220472" bottom="0.6692913385826772" header="0.5118110236220472" footer="0.4330708661417323"/>
  <pageSetup blackAndWhite="1" horizontalDpi="300" verticalDpi="300" orientation="landscape" paperSize="9" r:id="rId4"/>
  <headerFooter alignWithMargins="0">
    <oddFooter>&amp;C&amp;"Arial,Kurziv"&amp;12&amp;YProgram za izračun rezultata i provođenje natjecanja</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8">
    <tabColor indexed="10"/>
  </sheetPr>
  <dimension ref="A1:X14"/>
  <sheetViews>
    <sheetView showRowColHeaders="0" zoomScalePageLayoutView="0" workbookViewId="0" topLeftCell="A1">
      <selection activeCell="F2" sqref="F2"/>
    </sheetView>
  </sheetViews>
  <sheetFormatPr defaultColWidth="9.140625" defaultRowHeight="12.75"/>
  <cols>
    <col min="1" max="2" width="9.140625" style="452" customWidth="1"/>
    <col min="3" max="3" width="9.140625" style="453" customWidth="1"/>
    <col min="4" max="4" width="20.140625" style="455" customWidth="1"/>
    <col min="5" max="5" width="18.57421875" style="452" customWidth="1"/>
    <col min="6" max="6" width="9.140625" style="452" customWidth="1"/>
    <col min="7" max="8" width="0" style="452" hidden="1" customWidth="1"/>
    <col min="9" max="13" width="0" style="453" hidden="1" customWidth="1"/>
    <col min="14" max="16384" width="9.140625" style="452" customWidth="1"/>
  </cols>
  <sheetData>
    <row r="1" spans="1:24" ht="255">
      <c r="A1" s="196"/>
      <c r="B1" s="146" t="s">
        <v>72</v>
      </c>
      <c r="C1" s="146" t="s">
        <v>22</v>
      </c>
      <c r="D1" s="140" t="s">
        <v>20</v>
      </c>
      <c r="E1" s="140" t="s">
        <v>73</v>
      </c>
      <c r="F1" s="195" t="s">
        <v>74</v>
      </c>
      <c r="G1" s="419" t="s">
        <v>22</v>
      </c>
      <c r="H1" s="419" t="str">
        <f>B1</f>
        <v>Sektorski plasman</v>
      </c>
      <c r="I1" s="419" t="s">
        <v>136</v>
      </c>
      <c r="J1" s="419" t="s">
        <v>137</v>
      </c>
      <c r="K1" s="419" t="s">
        <v>138</v>
      </c>
      <c r="L1" s="419" t="s">
        <v>139</v>
      </c>
      <c r="M1" s="419" t="s">
        <v>140</v>
      </c>
      <c r="N1" s="145" t="s">
        <v>145</v>
      </c>
      <c r="O1" s="450"/>
      <c r="P1" s="451"/>
      <c r="Q1" s="451"/>
      <c r="R1" s="451"/>
      <c r="S1" s="451"/>
      <c r="T1" s="451"/>
      <c r="U1" s="451"/>
      <c r="V1" s="451"/>
      <c r="W1" s="451"/>
      <c r="X1" s="451"/>
    </row>
    <row r="2" spans="1:24" ht="12.75">
      <c r="A2" s="420"/>
      <c r="B2" s="54">
        <f>IF(AND(ISTEXT('Prijava ekipa i izvlačenje br.'!C2)=TRUE,ISNUMBER(F2)=FALSE,COUNTIF('Prijava ekipa i izvlačenje br.'!E2:'Prijava ekipa i izvlačenje br.'!Q2,"A")=0),COUNTA(D$2:D$13)-COUNTIF(D$2:D$13,"")+1,IF(AND(ISNUMBER(F2)=TRUE,ISNUMBER(N2)=TRUE),((COUNT(F$2:F$13)+1-RANK(F2,$F$2:$F$13,0)-RANK(F2,$F$2:$F$13,1))/2)+RANK(F2,$F$2:$F$13,0)+1,IF(ISNUMBER(F2)=TRUE,((COUNT(F$2:F$13)+1-RANK(F2,$F$2:$F$13,0)-RANK(F2,$F$2:$F$13,1))/2)+RANK(F2,$F$2:$F$13,0),"")))</f>
      </c>
      <c r="C2" s="55">
        <f>IF(AND(ISNUMBER('Prijava ekipa i izvlačenje br.'!A2)=TRUE,COUNTIF(E2,"")=0),'Prijava ekipa i izvlačenje br.'!A2,IF(AND(ISNUMBER('Prijava ekipa i izvlačenje br.'!F2)=TRUE,COUNTIF('Prijava ekipa i izvlačenje br.'!$E2,"A")=1),'Prijava ekipa i izvlačenje br.'!F2,IF(AND(ISNUMBER('Prijava ekipa i izvlačenje br.'!I2)=TRUE,COUNTIF('Prijava ekipa i izvlačenje br.'!$H2,"A")=1),'Prijava ekipa i izvlačenje br.'!I2,IF(AND(ISNUMBER('Prijava ekipa i izvlačenje br.'!L2)=TRUE,COUNTIF('Prijava ekipa i izvlačenje br.'!$K2,"A")=1),'Prijava ekipa i izvlačenje br.'!L2,IF(AND(ISNUMBER('Prijava ekipa i izvlačenje br.'!O2)=TRUE,COUNTIF('Prijava ekipa i izvlačenje br.'!$N2,"A")=1),'Prijava ekipa i izvlačenje br.'!O2,IF(AND(ISNUMBER('Prijava ekipa i izvlačenje br.'!R2)=TRUE,COUNTIF('Prijava ekipa i izvlačenje br.'!$Q2,"A")=1),'Prijava ekipa i izvlačenje br.'!R2,""))))))</f>
      </c>
      <c r="D2" s="421">
        <f>IF(ISBLANK('Prijava ekipa i izvlačenje br.'!C2)=TRUE,"",'Prijava ekipa i izvlačenje br.'!C2)</f>
      </c>
      <c r="E2" s="421">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c>
      <c r="F2" s="422"/>
      <c r="G2" s="423">
        <f>C2</f>
      </c>
      <c r="H2" s="423">
        <f>B2</f>
      </c>
      <c r="I2" s="423">
        <v>1</v>
      </c>
      <c r="J2" s="423">
        <v>2</v>
      </c>
      <c r="K2" s="423">
        <v>3</v>
      </c>
      <c r="L2" s="423">
        <v>4</v>
      </c>
      <c r="M2" s="423">
        <v>5</v>
      </c>
      <c r="N2" s="422"/>
      <c r="O2" s="450"/>
      <c r="P2" s="451"/>
      <c r="Q2" s="451"/>
      <c r="R2" s="451"/>
      <c r="S2" s="451"/>
      <c r="T2" s="451"/>
      <c r="U2" s="451"/>
      <c r="V2" s="451"/>
      <c r="W2" s="451"/>
      <c r="X2" s="451"/>
    </row>
    <row r="3" spans="1:24" ht="12.75">
      <c r="A3" s="420"/>
      <c r="B3" s="54">
        <f>IF(AND(ISTEXT('Prijava ekipa i izvlačenje br.'!C3)=TRUE,ISNUMBER(F3)=FALSE,COUNTIF('Prijava ekipa i izvlačenje br.'!E3:'Prijava ekipa i izvlačenje br.'!Q3,"A")=0),COUNTA(D$2:D$13)-COUNTIF(D$2:D$13,"")+1,IF(AND(ISNUMBER(F3)=TRUE,ISNUMBER(N3)=TRUE),((COUNT(F$2:F$13)+1-RANK(F3,$F$2:$F$13,0)-RANK(F3,$F$2:$F$13,1))/2)+RANK(F3,$F$2:$F$13,0)+1,IF(ISNUMBER(F3)=TRUE,((COUNT(F$2:F$13)+1-RANK(F3,$F$2:$F$13,0)-RANK(F3,$F$2:$F$13,1))/2)+RANK(F3,$F$2:$F$13,0),"")))</f>
      </c>
      <c r="C3" s="55">
        <f>IF(AND(ISNUMBER('Prijava ekipa i izvlačenje br.'!A3)=TRUE,COUNTIF(E3,"")=0),'Prijava ekipa i izvlačenje br.'!A3,IF(AND(ISNUMBER('Prijava ekipa i izvlačenje br.'!F3)=TRUE,COUNTIF('Prijava ekipa i izvlačenje br.'!$E3,"A")=1),'Prijava ekipa i izvlačenje br.'!F3,IF(AND(ISNUMBER('Prijava ekipa i izvlačenje br.'!I3)=TRUE,COUNTIF('Prijava ekipa i izvlačenje br.'!$H3,"A")=1),'Prijava ekipa i izvlačenje br.'!I3,IF(AND(ISNUMBER('Prijava ekipa i izvlačenje br.'!L3)=TRUE,COUNTIF('Prijava ekipa i izvlačenje br.'!$K3,"A")=1),'Prijava ekipa i izvlačenje br.'!L3,IF(AND(ISNUMBER('Prijava ekipa i izvlačenje br.'!O3)=TRUE,COUNTIF('Prijava ekipa i izvlačenje br.'!$N3,"A")=1),'Prijava ekipa i izvlačenje br.'!O3,IF(AND(ISNUMBER('Prijava ekipa i izvlačenje br.'!R3)=TRUE,COUNTIF('Prijava ekipa i izvlačenje br.'!$Q3,"A")=1),'Prijava ekipa i izvlačenje br.'!R3,""))))))</f>
      </c>
      <c r="D3" s="421">
        <f>IF(ISBLANK('Prijava ekipa i izvlačenje br.'!C3)=TRUE,"",'Prijava ekipa i izvlačenje br.'!C3)</f>
      </c>
      <c r="E3" s="421">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c>
      <c r="F3" s="422"/>
      <c r="G3" s="423">
        <f aca="true" t="shared" si="0" ref="G3:G13">C3</f>
      </c>
      <c r="H3" s="423">
        <f aca="true" t="shared" si="1" ref="H3:H13">B3</f>
      </c>
      <c r="I3" s="423">
        <v>6</v>
      </c>
      <c r="J3" s="423">
        <v>7</v>
      </c>
      <c r="K3" s="423">
        <v>8</v>
      </c>
      <c r="L3" s="423">
        <v>9</v>
      </c>
      <c r="M3" s="423">
        <v>10</v>
      </c>
      <c r="N3" s="422"/>
      <c r="O3" s="450"/>
      <c r="P3" s="451"/>
      <c r="Q3" s="451"/>
      <c r="R3" s="451"/>
      <c r="S3" s="451"/>
      <c r="T3" s="451"/>
      <c r="U3" s="451"/>
      <c r="V3" s="451"/>
      <c r="W3" s="451"/>
      <c r="X3" s="451"/>
    </row>
    <row r="4" spans="1:24" ht="12.75">
      <c r="A4" s="420"/>
      <c r="B4" s="54">
        <f>IF(AND(ISTEXT('Prijava ekipa i izvlačenje br.'!C4)=TRUE,ISNUMBER(F4)=FALSE,COUNTIF('Prijava ekipa i izvlačenje br.'!E4:'Prijava ekipa i izvlačenje br.'!Q4,"A")=0),COUNTA(D$2:D$13)-COUNTIF(D$2:D$13,"")+1,IF(AND(ISNUMBER(F4)=TRUE,ISNUMBER(N4)=TRUE),((COUNT(F$2:F$13)+1-RANK(F4,$F$2:$F$13,0)-RANK(F4,$F$2:$F$13,1))/2)+RANK(F4,$F$2:$F$13,0)+1,IF(ISNUMBER(F4)=TRUE,((COUNT(F$2:F$13)+1-RANK(F4,$F$2:$F$13,0)-RANK(F4,$F$2:$F$13,1))/2)+RANK(F4,$F$2:$F$13,0),"")))</f>
      </c>
      <c r="C4" s="55">
        <f>IF(AND(ISNUMBER('Prijava ekipa i izvlačenje br.'!A4)=TRUE,COUNTIF(E4,"")=0),'Prijava ekipa i izvlačenje br.'!A4,IF(AND(ISNUMBER('Prijava ekipa i izvlačenje br.'!F4)=TRUE,COUNTIF('Prijava ekipa i izvlačenje br.'!$E4,"A")=1),'Prijava ekipa i izvlačenje br.'!F4,IF(AND(ISNUMBER('Prijava ekipa i izvlačenje br.'!I4)=TRUE,COUNTIF('Prijava ekipa i izvlačenje br.'!$H4,"A")=1),'Prijava ekipa i izvlačenje br.'!I4,IF(AND(ISNUMBER('Prijava ekipa i izvlačenje br.'!L4)=TRUE,COUNTIF('Prijava ekipa i izvlačenje br.'!$K4,"A")=1),'Prijava ekipa i izvlačenje br.'!L4,IF(AND(ISNUMBER('Prijava ekipa i izvlačenje br.'!O4)=TRUE,COUNTIF('Prijava ekipa i izvlačenje br.'!$N4,"A")=1),'Prijava ekipa i izvlačenje br.'!O4,IF(AND(ISNUMBER('Prijava ekipa i izvlačenje br.'!R4)=TRUE,COUNTIF('Prijava ekipa i izvlačenje br.'!$Q4,"A")=1),'Prijava ekipa i izvlačenje br.'!R4,""))))))</f>
      </c>
      <c r="D4" s="421">
        <f>IF(ISBLANK('Prijava ekipa i izvlačenje br.'!C4)=TRUE,"",'Prijava ekipa i izvlačenje br.'!C4)</f>
      </c>
      <c r="E4" s="421">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c>
      <c r="F4" s="422"/>
      <c r="G4" s="423">
        <f t="shared" si="0"/>
      </c>
      <c r="H4" s="423">
        <f t="shared" si="1"/>
      </c>
      <c r="I4" s="423">
        <v>11</v>
      </c>
      <c r="J4" s="423">
        <v>12</v>
      </c>
      <c r="K4" s="423">
        <v>13</v>
      </c>
      <c r="L4" s="423">
        <v>14</v>
      </c>
      <c r="M4" s="423">
        <v>15</v>
      </c>
      <c r="N4" s="422"/>
      <c r="O4" s="450"/>
      <c r="P4" s="451"/>
      <c r="Q4" s="451"/>
      <c r="R4" s="451"/>
      <c r="S4" s="451"/>
      <c r="T4" s="451"/>
      <c r="U4" s="451"/>
      <c r="V4" s="451"/>
      <c r="W4" s="451"/>
      <c r="X4" s="451"/>
    </row>
    <row r="5" spans="1:24" ht="12.75">
      <c r="A5" s="420"/>
      <c r="B5" s="54">
        <f>IF(AND(ISTEXT('Prijava ekipa i izvlačenje br.'!C5)=TRUE,ISNUMBER(F5)=FALSE,COUNTIF('Prijava ekipa i izvlačenje br.'!E5:'Prijava ekipa i izvlačenje br.'!Q5,"A")=0),COUNTA(D$2:D$13)-COUNTIF(D$2:D$13,"")+1,IF(AND(ISNUMBER(F5)=TRUE,ISNUMBER(N5)=TRUE),((COUNT(F$2:F$13)+1-RANK(F5,$F$2:$F$13,0)-RANK(F5,$F$2:$F$13,1))/2)+RANK(F5,$F$2:$F$13,0)+1,IF(ISNUMBER(F5)=TRUE,((COUNT(F$2:F$13)+1-RANK(F5,$F$2:$F$13,0)-RANK(F5,$F$2:$F$13,1))/2)+RANK(F5,$F$2:$F$13,0),"")))</f>
      </c>
      <c r="C5" s="55">
        <f>IF(AND(ISNUMBER('Prijava ekipa i izvlačenje br.'!A5)=TRUE,COUNTIF(E5,"")=0),'Prijava ekipa i izvlačenje br.'!A5,IF(AND(ISNUMBER('Prijava ekipa i izvlačenje br.'!F5)=TRUE,COUNTIF('Prijava ekipa i izvlačenje br.'!$E5,"A")=1),'Prijava ekipa i izvlačenje br.'!F5,IF(AND(ISNUMBER('Prijava ekipa i izvlačenje br.'!I5)=TRUE,COUNTIF('Prijava ekipa i izvlačenje br.'!$H5,"A")=1),'Prijava ekipa i izvlačenje br.'!I5,IF(AND(ISNUMBER('Prijava ekipa i izvlačenje br.'!L5)=TRUE,COUNTIF('Prijava ekipa i izvlačenje br.'!$K5,"A")=1),'Prijava ekipa i izvlačenje br.'!L5,IF(AND(ISNUMBER('Prijava ekipa i izvlačenje br.'!O5)=TRUE,COUNTIF('Prijava ekipa i izvlačenje br.'!$N5,"A")=1),'Prijava ekipa i izvlačenje br.'!O5,IF(AND(ISNUMBER('Prijava ekipa i izvlačenje br.'!R5)=TRUE,COUNTIF('Prijava ekipa i izvlačenje br.'!$Q5,"A")=1),'Prijava ekipa i izvlačenje br.'!R5,""))))))</f>
      </c>
      <c r="D5" s="421">
        <f>IF(ISBLANK('Prijava ekipa i izvlačenje br.'!C5)=TRUE,"",'Prijava ekipa i izvlačenje br.'!C5)</f>
      </c>
      <c r="E5" s="421">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c>
      <c r="F5" s="422"/>
      <c r="G5" s="423">
        <f t="shared" si="0"/>
      </c>
      <c r="H5" s="423">
        <f t="shared" si="1"/>
      </c>
      <c r="I5" s="423">
        <v>16</v>
      </c>
      <c r="J5" s="423">
        <v>17</v>
      </c>
      <c r="K5" s="423">
        <v>18</v>
      </c>
      <c r="L5" s="423">
        <v>19</v>
      </c>
      <c r="M5" s="423">
        <v>20</v>
      </c>
      <c r="N5" s="422"/>
      <c r="O5" s="450"/>
      <c r="P5" s="451"/>
      <c r="Q5" s="451"/>
      <c r="R5" s="451"/>
      <c r="S5" s="451"/>
      <c r="T5" s="451"/>
      <c r="U5" s="451"/>
      <c r="V5" s="451"/>
      <c r="W5" s="451"/>
      <c r="X5" s="451"/>
    </row>
    <row r="6" spans="1:24" ht="12.75">
      <c r="A6" s="420"/>
      <c r="B6" s="54">
        <f>IF(AND(ISTEXT('Prijava ekipa i izvlačenje br.'!C6)=TRUE,ISNUMBER(F6)=FALSE,COUNTIF('Prijava ekipa i izvlačenje br.'!E6:'Prijava ekipa i izvlačenje br.'!Q6,"A")=0),COUNTA(D$2:D$13)-COUNTIF(D$2:D$13,"")+1,IF(AND(ISNUMBER(F6)=TRUE,ISNUMBER(N6)=TRUE),((COUNT(F$2:F$13)+1-RANK(F6,$F$2:$F$13,0)-RANK(F6,$F$2:$F$13,1))/2)+RANK(F6,$F$2:$F$13,0)+1,IF(ISNUMBER(F6)=TRUE,((COUNT(F$2:F$13)+1-RANK(F6,$F$2:$F$13,0)-RANK(F6,$F$2:$F$13,1))/2)+RANK(F6,$F$2:$F$13,0),"")))</f>
      </c>
      <c r="C6" s="55">
        <f>IF(AND(ISNUMBER('Prijava ekipa i izvlačenje br.'!A6)=TRUE,COUNTIF(E6,"")=0),'Prijava ekipa i izvlačenje br.'!A6,IF(AND(ISNUMBER('Prijava ekipa i izvlačenje br.'!F6)=TRUE,COUNTIF('Prijava ekipa i izvlačenje br.'!$E6,"A")=1),'Prijava ekipa i izvlačenje br.'!F6,IF(AND(ISNUMBER('Prijava ekipa i izvlačenje br.'!I6)=TRUE,COUNTIF('Prijava ekipa i izvlačenje br.'!$H6,"A")=1),'Prijava ekipa i izvlačenje br.'!I6,IF(AND(ISNUMBER('Prijava ekipa i izvlačenje br.'!L6)=TRUE,COUNTIF('Prijava ekipa i izvlačenje br.'!$K6,"A")=1),'Prijava ekipa i izvlačenje br.'!L6,IF(AND(ISNUMBER('Prijava ekipa i izvlačenje br.'!O6)=TRUE,COUNTIF('Prijava ekipa i izvlačenje br.'!$N6,"A")=1),'Prijava ekipa i izvlačenje br.'!O6,IF(AND(ISNUMBER('Prijava ekipa i izvlačenje br.'!R6)=TRUE,COUNTIF('Prijava ekipa i izvlačenje br.'!$Q6,"A")=1),'Prijava ekipa i izvlačenje br.'!R6,""))))))</f>
      </c>
      <c r="D6" s="421">
        <f>IF(ISBLANK('Prijava ekipa i izvlačenje br.'!C6)=TRUE,"",'Prijava ekipa i izvlačenje br.'!C6)</f>
      </c>
      <c r="E6" s="421">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c>
      <c r="F6" s="422"/>
      <c r="G6" s="423">
        <f t="shared" si="0"/>
      </c>
      <c r="H6" s="423">
        <f t="shared" si="1"/>
      </c>
      <c r="I6" s="423">
        <v>21</v>
      </c>
      <c r="J6" s="423">
        <v>22</v>
      </c>
      <c r="K6" s="423">
        <v>23</v>
      </c>
      <c r="L6" s="423">
        <v>24</v>
      </c>
      <c r="M6" s="423">
        <v>25</v>
      </c>
      <c r="N6" s="422"/>
      <c r="O6" s="450"/>
      <c r="P6" s="451"/>
      <c r="Q6" s="451"/>
      <c r="R6" s="451"/>
      <c r="S6" s="451"/>
      <c r="T6" s="451"/>
      <c r="U6" s="451"/>
      <c r="V6" s="451"/>
      <c r="W6" s="451"/>
      <c r="X6" s="451"/>
    </row>
    <row r="7" spans="1:24" ht="12.75">
      <c r="A7" s="420"/>
      <c r="B7" s="54">
        <f>IF(AND(ISTEXT('Prijava ekipa i izvlačenje br.'!C7)=TRUE,ISNUMBER(F7)=FALSE,COUNTIF('Prijava ekipa i izvlačenje br.'!E7:'Prijava ekipa i izvlačenje br.'!Q7,"A")=0),COUNTA(D$2:D$13)-COUNTIF(D$2:D$13,"")+1,IF(AND(ISNUMBER(F7)=TRUE,ISNUMBER(N7)=TRUE),((COUNT(F$2:F$13)+1-RANK(F7,$F$2:$F$13,0)-RANK(F7,$F$2:$F$13,1))/2)+RANK(F7,$F$2:$F$13,0)+1,IF(ISNUMBER(F7)=TRUE,((COUNT(F$2:F$13)+1-RANK(F7,$F$2:$F$13,0)-RANK(F7,$F$2:$F$13,1))/2)+RANK(F7,$F$2:$F$13,0),"")))</f>
      </c>
      <c r="C7" s="55">
        <f>IF(AND(ISNUMBER('Prijava ekipa i izvlačenje br.'!A7)=TRUE,COUNTIF(E7,"")=0),'Prijava ekipa i izvlačenje br.'!A7,IF(AND(ISNUMBER('Prijava ekipa i izvlačenje br.'!F7)=TRUE,COUNTIF('Prijava ekipa i izvlačenje br.'!$E7,"A")=1),'Prijava ekipa i izvlačenje br.'!F7,IF(AND(ISNUMBER('Prijava ekipa i izvlačenje br.'!I7)=TRUE,COUNTIF('Prijava ekipa i izvlačenje br.'!$H7,"A")=1),'Prijava ekipa i izvlačenje br.'!I7,IF(AND(ISNUMBER('Prijava ekipa i izvlačenje br.'!L7)=TRUE,COUNTIF('Prijava ekipa i izvlačenje br.'!$K7,"A")=1),'Prijava ekipa i izvlačenje br.'!L7,IF(AND(ISNUMBER('Prijava ekipa i izvlačenje br.'!O7)=TRUE,COUNTIF('Prijava ekipa i izvlačenje br.'!$N7,"A")=1),'Prijava ekipa i izvlačenje br.'!O7,IF(AND(ISNUMBER('Prijava ekipa i izvlačenje br.'!R7)=TRUE,COUNTIF('Prijava ekipa i izvlačenje br.'!$Q7,"A")=1),'Prijava ekipa i izvlačenje br.'!R7,""))))))</f>
      </c>
      <c r="D7" s="421">
        <f>IF(ISBLANK('Prijava ekipa i izvlačenje br.'!C7)=TRUE,"",'Prijava ekipa i izvlačenje br.'!C7)</f>
      </c>
      <c r="E7" s="421">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c>
      <c r="F7" s="422"/>
      <c r="G7" s="423">
        <f t="shared" si="0"/>
      </c>
      <c r="H7" s="423">
        <f t="shared" si="1"/>
      </c>
      <c r="I7" s="423">
        <v>26</v>
      </c>
      <c r="J7" s="423">
        <v>27</v>
      </c>
      <c r="K7" s="423">
        <v>28</v>
      </c>
      <c r="L7" s="423">
        <v>29</v>
      </c>
      <c r="M7" s="423">
        <v>30</v>
      </c>
      <c r="N7" s="422"/>
      <c r="O7" s="450"/>
      <c r="P7" s="451"/>
      <c r="Q7" s="451"/>
      <c r="R7" s="451"/>
      <c r="S7" s="451"/>
      <c r="T7" s="451"/>
      <c r="U7" s="451"/>
      <c r="V7" s="451"/>
      <c r="W7" s="451"/>
      <c r="X7" s="451"/>
    </row>
    <row r="8" spans="1:24" ht="12.75">
      <c r="A8" s="420"/>
      <c r="B8" s="54">
        <f>IF(AND(ISTEXT('Prijava ekipa i izvlačenje br.'!C8)=TRUE,ISNUMBER(F8)=FALSE,COUNTIF('Prijava ekipa i izvlačenje br.'!E8:'Prijava ekipa i izvlačenje br.'!Q8,"A")=0),COUNTA(D$2:D$13)-COUNTIF(D$2:D$13,"")+1,IF(AND(ISNUMBER(F8)=TRUE,ISNUMBER(N8)=TRUE),((COUNT(F$2:F$13)+1-RANK(F8,$F$2:$F$13,0)-RANK(F8,$F$2:$F$13,1))/2)+RANK(F8,$F$2:$F$13,0)+1,IF(ISNUMBER(F8)=TRUE,((COUNT(F$2:F$13)+1-RANK(F8,$F$2:$F$13,0)-RANK(F8,$F$2:$F$13,1))/2)+RANK(F8,$F$2:$F$13,0),"")))</f>
      </c>
      <c r="C8" s="55">
        <f>IF(AND(ISNUMBER('Prijava ekipa i izvlačenje br.'!A8)=TRUE,COUNTIF(E8,"")=0),'Prijava ekipa i izvlačenje br.'!A8,IF(AND(ISNUMBER('Prijava ekipa i izvlačenje br.'!F8)=TRUE,COUNTIF('Prijava ekipa i izvlačenje br.'!$E8,"A")=1),'Prijava ekipa i izvlačenje br.'!F8,IF(AND(ISNUMBER('Prijava ekipa i izvlačenje br.'!I8)=TRUE,COUNTIF('Prijava ekipa i izvlačenje br.'!$H8,"A")=1),'Prijava ekipa i izvlačenje br.'!I8,IF(AND(ISNUMBER('Prijava ekipa i izvlačenje br.'!L8)=TRUE,COUNTIF('Prijava ekipa i izvlačenje br.'!$K8,"A")=1),'Prijava ekipa i izvlačenje br.'!L8,IF(AND(ISNUMBER('Prijava ekipa i izvlačenje br.'!O8)=TRUE,COUNTIF('Prijava ekipa i izvlačenje br.'!$N8,"A")=1),'Prijava ekipa i izvlačenje br.'!O8,IF(AND(ISNUMBER('Prijava ekipa i izvlačenje br.'!R8)=TRUE,COUNTIF('Prijava ekipa i izvlačenje br.'!$Q8,"A")=1),'Prijava ekipa i izvlačenje br.'!R8,""))))))</f>
      </c>
      <c r="D8" s="421">
        <f>IF(ISBLANK('Prijava ekipa i izvlačenje br.'!C8)=TRUE,"",'Prijava ekipa i izvlačenje br.'!C8)</f>
      </c>
      <c r="E8" s="421">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c>
      <c r="F8" s="422"/>
      <c r="G8" s="423">
        <f t="shared" si="0"/>
      </c>
      <c r="H8" s="423">
        <f t="shared" si="1"/>
      </c>
      <c r="I8" s="423">
        <v>31</v>
      </c>
      <c r="J8" s="423">
        <v>32</v>
      </c>
      <c r="K8" s="423">
        <v>33</v>
      </c>
      <c r="L8" s="423">
        <v>34</v>
      </c>
      <c r="M8" s="423">
        <v>35</v>
      </c>
      <c r="N8" s="422"/>
      <c r="O8" s="450"/>
      <c r="P8" s="451"/>
      <c r="Q8" s="451"/>
      <c r="R8" s="451"/>
      <c r="S8" s="451"/>
      <c r="T8" s="451"/>
      <c r="U8" s="451"/>
      <c r="V8" s="451"/>
      <c r="W8" s="451"/>
      <c r="X8" s="451"/>
    </row>
    <row r="9" spans="1:24" ht="12.75">
      <c r="A9" s="420"/>
      <c r="B9" s="54">
        <f>IF(AND(ISTEXT('Prijava ekipa i izvlačenje br.'!C9)=TRUE,ISNUMBER(F9)=FALSE,COUNTIF('Prijava ekipa i izvlačenje br.'!E9:'Prijava ekipa i izvlačenje br.'!Q9,"A")=0),COUNTA(D$2:D$13)-COUNTIF(D$2:D$13,"")+1,IF(AND(ISNUMBER(F9)=TRUE,ISNUMBER(N9)=TRUE),((COUNT(F$2:F$13)+1-RANK(F9,$F$2:$F$13,0)-RANK(F9,$F$2:$F$13,1))/2)+RANK(F9,$F$2:$F$13,0)+1,IF(ISNUMBER(F9)=TRUE,((COUNT(F$2:F$13)+1-RANK(F9,$F$2:$F$13,0)-RANK(F9,$F$2:$F$13,1))/2)+RANK(F9,$F$2:$F$13,0),"")))</f>
      </c>
      <c r="C9" s="55">
        <f>IF(AND(ISNUMBER('Prijava ekipa i izvlačenje br.'!A9)=TRUE,COUNTIF(E9,"")=0),'Prijava ekipa i izvlačenje br.'!A9,IF(AND(ISNUMBER('Prijava ekipa i izvlačenje br.'!F9)=TRUE,COUNTIF('Prijava ekipa i izvlačenje br.'!$E9,"A")=1),'Prijava ekipa i izvlačenje br.'!F9,IF(AND(ISNUMBER('Prijava ekipa i izvlačenje br.'!I9)=TRUE,COUNTIF('Prijava ekipa i izvlačenje br.'!$H9,"A")=1),'Prijava ekipa i izvlačenje br.'!I9,IF(AND(ISNUMBER('Prijava ekipa i izvlačenje br.'!L9)=TRUE,COUNTIF('Prijava ekipa i izvlačenje br.'!$K9,"A")=1),'Prijava ekipa i izvlačenje br.'!L9,IF(AND(ISNUMBER('Prijava ekipa i izvlačenje br.'!O9)=TRUE,COUNTIF('Prijava ekipa i izvlačenje br.'!$N9,"A")=1),'Prijava ekipa i izvlačenje br.'!O9,IF(AND(ISNUMBER('Prijava ekipa i izvlačenje br.'!R9)=TRUE,COUNTIF('Prijava ekipa i izvlačenje br.'!$Q9,"A")=1),'Prijava ekipa i izvlačenje br.'!R9,""))))))</f>
      </c>
      <c r="D9" s="421">
        <f>IF(ISBLANK('Prijava ekipa i izvlačenje br.'!C9)=TRUE,"",'Prijava ekipa i izvlačenje br.'!C9)</f>
      </c>
      <c r="E9" s="421">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c>
      <c r="F9" s="422"/>
      <c r="G9" s="423">
        <f t="shared" si="0"/>
      </c>
      <c r="H9" s="423">
        <f t="shared" si="1"/>
      </c>
      <c r="I9" s="423">
        <v>36</v>
      </c>
      <c r="J9" s="423">
        <v>37</v>
      </c>
      <c r="K9" s="423">
        <v>38</v>
      </c>
      <c r="L9" s="423">
        <v>39</v>
      </c>
      <c r="M9" s="423">
        <v>40</v>
      </c>
      <c r="N9" s="422"/>
      <c r="O9" s="450"/>
      <c r="P9" s="451"/>
      <c r="Q9" s="451"/>
      <c r="R9" s="451"/>
      <c r="S9" s="451"/>
      <c r="T9" s="451"/>
      <c r="U9" s="451"/>
      <c r="V9" s="451"/>
      <c r="W9" s="451"/>
      <c r="X9" s="451"/>
    </row>
    <row r="10" spans="1:24" ht="12.75">
      <c r="A10" s="420"/>
      <c r="B10" s="54">
        <f>IF(AND(ISTEXT('Prijava ekipa i izvlačenje br.'!C10)=TRUE,ISNUMBER(F10)=FALSE,COUNTIF('Prijava ekipa i izvlačenje br.'!E10:'Prijava ekipa i izvlačenje br.'!Q10,"A")=0),COUNTA(D$2:D$13)-COUNTIF(D$2:D$13,"")+1,IF(AND(ISNUMBER(F10)=TRUE,ISNUMBER(N10)=TRUE),((COUNT(F$2:F$13)+1-RANK(F10,$F$2:$F$13,0)-RANK(F10,$F$2:$F$13,1))/2)+RANK(F10,$F$2:$F$13,0)+1,IF(ISNUMBER(F10)=TRUE,((COUNT(F$2:F$13)+1-RANK(F10,$F$2:$F$13,0)-RANK(F10,$F$2:$F$13,1))/2)+RANK(F10,$F$2:$F$13,0),"")))</f>
      </c>
      <c r="C10" s="55">
        <f>IF(AND(ISNUMBER('Prijava ekipa i izvlačenje br.'!A10)=TRUE,COUNTIF(E10,"")=0),'Prijava ekipa i izvlačenje br.'!A10,IF(AND(ISNUMBER('Prijava ekipa i izvlačenje br.'!F10)=TRUE,COUNTIF('Prijava ekipa i izvlačenje br.'!$E10,"A")=1),'Prijava ekipa i izvlačenje br.'!F10,IF(AND(ISNUMBER('Prijava ekipa i izvlačenje br.'!I10)=TRUE,COUNTIF('Prijava ekipa i izvlačenje br.'!$H10,"A")=1),'Prijava ekipa i izvlačenje br.'!I10,IF(AND(ISNUMBER('Prijava ekipa i izvlačenje br.'!L10)=TRUE,COUNTIF('Prijava ekipa i izvlačenje br.'!$K10,"A")=1),'Prijava ekipa i izvlačenje br.'!L10,IF(AND(ISNUMBER('Prijava ekipa i izvlačenje br.'!O10)=TRUE,COUNTIF('Prijava ekipa i izvlačenje br.'!$N10,"A")=1),'Prijava ekipa i izvlačenje br.'!O10,IF(AND(ISNUMBER('Prijava ekipa i izvlačenje br.'!R10)=TRUE,COUNTIF('Prijava ekipa i izvlačenje br.'!$Q10,"A")=1),'Prijava ekipa i izvlačenje br.'!R10,""))))))</f>
      </c>
      <c r="D10" s="421">
        <f>IF(ISBLANK('Prijava ekipa i izvlačenje br.'!C10)=TRUE,"",'Prijava ekipa i izvlačenje br.'!C10)</f>
      </c>
      <c r="E10" s="421">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c>
      <c r="F10" s="422"/>
      <c r="G10" s="423">
        <f t="shared" si="0"/>
      </c>
      <c r="H10" s="423">
        <f t="shared" si="1"/>
      </c>
      <c r="I10" s="423">
        <v>41</v>
      </c>
      <c r="J10" s="423">
        <v>42</v>
      </c>
      <c r="K10" s="423">
        <v>43</v>
      </c>
      <c r="L10" s="423">
        <v>44</v>
      </c>
      <c r="M10" s="423">
        <v>45</v>
      </c>
      <c r="N10" s="422"/>
      <c r="O10" s="450"/>
      <c r="P10" s="451"/>
      <c r="Q10" s="451"/>
      <c r="R10" s="451"/>
      <c r="S10" s="451"/>
      <c r="T10" s="451"/>
      <c r="U10" s="451"/>
      <c r="V10" s="451"/>
      <c r="W10" s="451"/>
      <c r="X10" s="451"/>
    </row>
    <row r="11" spans="1:24" ht="12.75">
      <c r="A11" s="420"/>
      <c r="B11" s="54">
        <f>IF(AND(ISTEXT('Prijava ekipa i izvlačenje br.'!C11)=TRUE,ISNUMBER(F11)=FALSE,COUNTIF('Prijava ekipa i izvlačenje br.'!E11:'Prijava ekipa i izvlačenje br.'!Q11,"A")=0),COUNTA(D$2:D$13)-COUNTIF(D$2:D$13,"")+1,IF(AND(ISNUMBER(F11)=TRUE,ISNUMBER(N11)=TRUE),((COUNT(F$2:F$13)+1-RANK(F11,$F$2:$F$13,0)-RANK(F11,$F$2:$F$13,1))/2)+RANK(F11,$F$2:$F$13,0)+1,IF(ISNUMBER(F11)=TRUE,((COUNT(F$2:F$13)+1-RANK(F11,$F$2:$F$13,0)-RANK(F11,$F$2:$F$13,1))/2)+RANK(F11,$F$2:$F$13,0),"")))</f>
      </c>
      <c r="C11" s="55">
        <f>IF(AND(ISNUMBER('Prijava ekipa i izvlačenje br.'!A11)=TRUE,COUNTIF(E11,"")=0),'Prijava ekipa i izvlačenje br.'!A11,IF(AND(ISNUMBER('Prijava ekipa i izvlačenje br.'!F11)=TRUE,COUNTIF('Prijava ekipa i izvlačenje br.'!$E11,"A")=1),'Prijava ekipa i izvlačenje br.'!F11,IF(AND(ISNUMBER('Prijava ekipa i izvlačenje br.'!I11)=TRUE,COUNTIF('Prijava ekipa i izvlačenje br.'!$H11,"A")=1),'Prijava ekipa i izvlačenje br.'!I11,IF(AND(ISNUMBER('Prijava ekipa i izvlačenje br.'!L11)=TRUE,COUNTIF('Prijava ekipa i izvlačenje br.'!$K11,"A")=1),'Prijava ekipa i izvlačenje br.'!L11,IF(AND(ISNUMBER('Prijava ekipa i izvlačenje br.'!O11)=TRUE,COUNTIF('Prijava ekipa i izvlačenje br.'!$N11,"A")=1),'Prijava ekipa i izvlačenje br.'!O11,IF(AND(ISNUMBER('Prijava ekipa i izvlačenje br.'!R11)=TRUE,COUNTIF('Prijava ekipa i izvlačenje br.'!$Q11,"A")=1),'Prijava ekipa i izvlačenje br.'!R11,""))))))</f>
      </c>
      <c r="D11" s="421">
        <f>IF(ISBLANK('Prijava ekipa i izvlačenje br.'!C11)=TRUE,"",'Prijava ekipa i izvlačenje br.'!C11)</f>
      </c>
      <c r="E11" s="421">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c>
      <c r="F11" s="422"/>
      <c r="G11" s="423">
        <f t="shared" si="0"/>
      </c>
      <c r="H11" s="423">
        <f t="shared" si="1"/>
      </c>
      <c r="I11" s="423">
        <v>46</v>
      </c>
      <c r="J11" s="423">
        <v>47</v>
      </c>
      <c r="K11" s="423">
        <v>48</v>
      </c>
      <c r="L11" s="423">
        <v>49</v>
      </c>
      <c r="M11" s="423">
        <v>50</v>
      </c>
      <c r="N11" s="422"/>
      <c r="O11" s="450"/>
      <c r="P11" s="451"/>
      <c r="Q11" s="451"/>
      <c r="R11" s="451"/>
      <c r="S11" s="451"/>
      <c r="T11" s="451"/>
      <c r="U11" s="451"/>
      <c r="V11" s="451"/>
      <c r="W11" s="451"/>
      <c r="X11" s="451"/>
    </row>
    <row r="12" spans="1:24" ht="12.75">
      <c r="A12" s="420"/>
      <c r="B12" s="54">
        <f>IF(AND(ISTEXT('Prijava ekipa i izvlačenje br.'!C12)=TRUE,ISNUMBER(F12)=FALSE,COUNTIF('Prijava ekipa i izvlačenje br.'!E12:'Prijava ekipa i izvlačenje br.'!Q12,"A")=0),COUNTA(D$2:D$13)-COUNTIF(D$2:D$13,"")+1,IF(AND(ISNUMBER(F12)=TRUE,ISNUMBER(N12)=TRUE),((COUNT(F$2:F$13)+1-RANK(F12,$F$2:$F$13,0)-RANK(F12,$F$2:$F$13,1))/2)+RANK(F12,$F$2:$F$13,0)+1,IF(ISNUMBER(F12)=TRUE,((COUNT(F$2:F$13)+1-RANK(F12,$F$2:$F$13,0)-RANK(F12,$F$2:$F$13,1))/2)+RANK(F12,$F$2:$F$13,0),"")))</f>
      </c>
      <c r="C12" s="55">
        <f>IF(AND(ISNUMBER('Prijava ekipa i izvlačenje br.'!A12)=TRUE,COUNTIF(E12,"")=0),'Prijava ekipa i izvlačenje br.'!A12,IF(AND(ISNUMBER('Prijava ekipa i izvlačenje br.'!F12)=TRUE,COUNTIF('Prijava ekipa i izvlačenje br.'!$E12,"A")=1),'Prijava ekipa i izvlačenje br.'!F12,IF(AND(ISNUMBER('Prijava ekipa i izvlačenje br.'!I12)=TRUE,COUNTIF('Prijava ekipa i izvlačenje br.'!$H12,"A")=1),'Prijava ekipa i izvlačenje br.'!I12,IF(AND(ISNUMBER('Prijava ekipa i izvlačenje br.'!L12)=TRUE,COUNTIF('Prijava ekipa i izvlačenje br.'!$K12,"A")=1),'Prijava ekipa i izvlačenje br.'!L12,IF(AND(ISNUMBER('Prijava ekipa i izvlačenje br.'!O12)=TRUE,COUNTIF('Prijava ekipa i izvlačenje br.'!$N12,"A")=1),'Prijava ekipa i izvlačenje br.'!O12,IF(AND(ISNUMBER('Prijava ekipa i izvlačenje br.'!R12)=TRUE,COUNTIF('Prijava ekipa i izvlačenje br.'!$Q12,"A")=1),'Prijava ekipa i izvlačenje br.'!R12,""))))))</f>
      </c>
      <c r="D12" s="421">
        <f>IF(ISBLANK('Prijava ekipa i izvlačenje br.'!C12)=TRUE,"",'Prijava ekipa i izvlačenje br.'!C12)</f>
      </c>
      <c r="E12" s="421">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c>
      <c r="F12" s="422"/>
      <c r="G12" s="423">
        <f t="shared" si="0"/>
      </c>
      <c r="H12" s="423">
        <f t="shared" si="1"/>
      </c>
      <c r="I12" s="423">
        <v>51</v>
      </c>
      <c r="J12" s="423">
        <v>52</v>
      </c>
      <c r="K12" s="423">
        <v>53</v>
      </c>
      <c r="L12" s="423">
        <v>54</v>
      </c>
      <c r="M12" s="423">
        <v>55</v>
      </c>
      <c r="N12" s="422"/>
      <c r="O12" s="450"/>
      <c r="P12" s="451"/>
      <c r="Q12" s="451"/>
      <c r="R12" s="451"/>
      <c r="S12" s="451"/>
      <c r="T12" s="451"/>
      <c r="U12" s="451"/>
      <c r="V12" s="451"/>
      <c r="W12" s="451"/>
      <c r="X12" s="451"/>
    </row>
    <row r="13" spans="1:24" ht="13.5" thickBot="1">
      <c r="A13" s="424"/>
      <c r="B13" s="425">
        <f>IF(AND(ISTEXT('Prijava ekipa i izvlačenje br.'!C13)=TRUE,ISNUMBER(F13)=FALSE,COUNTIF('Prijava ekipa i izvlačenje br.'!E13:'Prijava ekipa i izvlačenje br.'!Q13,"A")=0),COUNTA(D$2:D$13)-COUNTIF(D$2:D$13,"")+1,IF(AND(ISNUMBER(F13)=TRUE,ISNUMBER(N13)=TRUE),((COUNT(F$2:F$13)+1-RANK(F13,$F$2:$F$13,0)-RANK(F13,$F$2:$F$13,1))/2)+RANK(F13,$F$2:$F$13,0)+1,IF(ISNUMBER(F13)=TRUE,((COUNT(F$2:F$13)+1-RANK(F13,$F$2:$F$13,0)-RANK(F13,$F$2:$F$13,1))/2)+RANK(F13,$F$2:$F$13,0),"")))</f>
      </c>
      <c r="C13" s="426">
        <f>IF(AND(ISNUMBER('Prijava ekipa i izvlačenje br.'!A13)=TRUE,COUNTIF(E13,"")=0),'Prijava ekipa i izvlačenje br.'!A13,IF(AND(ISNUMBER('Prijava ekipa i izvlačenje br.'!F13)=TRUE,COUNTIF('Prijava ekipa i izvlačenje br.'!$E13,"A")=1),'Prijava ekipa i izvlačenje br.'!F13,IF(AND(ISNUMBER('Prijava ekipa i izvlačenje br.'!I13)=TRUE,COUNTIF('Prijava ekipa i izvlačenje br.'!$H13,"A")=1),'Prijava ekipa i izvlačenje br.'!I13,IF(AND(ISNUMBER('Prijava ekipa i izvlačenje br.'!L13)=TRUE,COUNTIF('Prijava ekipa i izvlačenje br.'!$K13,"A")=1),'Prijava ekipa i izvlačenje br.'!L13,IF(AND(ISNUMBER('Prijava ekipa i izvlačenje br.'!O13)=TRUE,COUNTIF('Prijava ekipa i izvlačenje br.'!$N13,"A")=1),'Prijava ekipa i izvlačenje br.'!O13,IF(AND(ISNUMBER('Prijava ekipa i izvlačenje br.'!R13)=TRUE,COUNTIF('Prijava ekipa i izvlačenje br.'!$Q13,"A")=1),'Prijava ekipa i izvlačenje br.'!R13,""))))))</f>
      </c>
      <c r="D13" s="427">
        <f>IF(ISBLANK('Prijava ekipa i izvlačenje br.'!C13)=TRUE,"",'Prijava ekipa i izvlačenje br.'!C13)</f>
      </c>
      <c r="E13" s="427">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c>
      <c r="F13" s="428"/>
      <c r="G13" s="429">
        <f t="shared" si="0"/>
      </c>
      <c r="H13" s="429">
        <f t="shared" si="1"/>
      </c>
      <c r="I13" s="429">
        <v>56</v>
      </c>
      <c r="J13" s="429">
        <v>57</v>
      </c>
      <c r="K13" s="429">
        <v>58</v>
      </c>
      <c r="L13" s="429">
        <v>59</v>
      </c>
      <c r="M13" s="429">
        <v>60</v>
      </c>
      <c r="N13" s="428"/>
      <c r="O13" s="450"/>
      <c r="P13" s="451"/>
      <c r="Q13" s="451"/>
      <c r="R13" s="451"/>
      <c r="S13" s="451"/>
      <c r="T13" s="451"/>
      <c r="U13" s="451"/>
      <c r="V13" s="451"/>
      <c r="W13" s="451"/>
      <c r="X13" s="451"/>
    </row>
    <row r="14" ht="12.75">
      <c r="D14" s="454"/>
    </row>
  </sheetData>
  <sheetProtection password="C7E2" sheet="1" objects="1" scenarios="1"/>
  <printOptions/>
  <pageMargins left="0.7480314960629921" right="0.7480314960629921" top="0.984251968503937" bottom="0.984251968503937" header="0.5118110236220472" footer="0.5118110236220472"/>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1.xml><?xml version="1.0" encoding="utf-8"?>
<worksheet xmlns="http://schemas.openxmlformats.org/spreadsheetml/2006/main" xmlns:r="http://schemas.openxmlformats.org/officeDocument/2006/relationships">
  <sheetPr codeName="Sheet9">
    <tabColor indexed="10"/>
  </sheetPr>
  <dimension ref="A1:V13"/>
  <sheetViews>
    <sheetView showRowColHeaders="0" zoomScalePageLayoutView="0" workbookViewId="0" topLeftCell="A1">
      <selection activeCell="F2" sqref="F2"/>
    </sheetView>
  </sheetViews>
  <sheetFormatPr defaultColWidth="9.140625" defaultRowHeight="12.75"/>
  <cols>
    <col min="1" max="1" width="9.140625" style="444" customWidth="1"/>
    <col min="2" max="2" width="9.140625" style="452" customWidth="1"/>
    <col min="3" max="3" width="9.140625" style="459" customWidth="1"/>
    <col min="4" max="4" width="20.140625" style="453" customWidth="1"/>
    <col min="5" max="5" width="18.57421875" style="444" customWidth="1"/>
    <col min="6" max="6" width="9.140625" style="444" customWidth="1"/>
    <col min="7" max="9" width="0" style="459" hidden="1" customWidth="1"/>
    <col min="10" max="16384" width="9.140625" style="444" customWidth="1"/>
  </cols>
  <sheetData>
    <row r="1" spans="1:22" ht="255">
      <c r="A1" s="196"/>
      <c r="B1" s="146" t="s">
        <v>72</v>
      </c>
      <c r="C1" s="146" t="s">
        <v>22</v>
      </c>
      <c r="D1" s="140" t="s">
        <v>20</v>
      </c>
      <c r="E1" s="140" t="s">
        <v>73</v>
      </c>
      <c r="F1" s="195" t="s">
        <v>74</v>
      </c>
      <c r="G1" s="419" t="s">
        <v>22</v>
      </c>
      <c r="H1" s="419" t="str">
        <f>B1</f>
        <v>Sektorski plasman</v>
      </c>
      <c r="I1" s="419" t="s">
        <v>136</v>
      </c>
      <c r="J1" s="145" t="s">
        <v>145</v>
      </c>
      <c r="K1" s="456"/>
      <c r="L1" s="457"/>
      <c r="M1" s="457"/>
      <c r="N1" s="458"/>
      <c r="O1" s="458"/>
      <c r="P1" s="458"/>
      <c r="Q1" s="458"/>
      <c r="R1" s="458"/>
      <c r="S1" s="458"/>
      <c r="T1" s="458"/>
      <c r="U1" s="458"/>
      <c r="V1" s="458"/>
    </row>
    <row r="2" spans="1:22" ht="12.75">
      <c r="A2" s="49"/>
      <c r="B2" s="54">
        <f>IF(AND(ISTEXT('Prijava ekipa i izvlačenje br.'!C2)=TRUE,ISNUMBER(F2)=FALSE,COUNTIF('Prijava ekipa i izvlačenje br.'!E2:'Prijava ekipa i izvlačenje br.'!Q2,"B")=0),COUNTA(D$2:D$13)-COUNTIF(D$2:D$13,"")+1,IF(AND(ISNUMBER(F2)=TRUE,ISNUMBER(J2)=TRUE),((COUNT(F$2:F$13)+1-RANK(F2,$F$2:$F$13,0)-RANK(F2,$F$2:$F$13,1))/2)+RANK(F2,$F$2:$F$13,0)+1,IF(ISNUMBER(F2)=TRUE,((COUNT(F$2:F$13)+1-RANK(F2,$F$2:$F$13,0)-RANK(F2,$F$2:$F$13,1))/2)+RANK(F2,$F$2:$F$13,0),"")))</f>
      </c>
      <c r="C2" s="55">
        <f>IF(AND(ISNUMBER('Prijava ekipa i izvlačenje br.'!A2)=TRUE,COUNTIF(E2,"")=0),'Prijava ekipa i izvlačenje br.'!A2,IF(AND(ISNUMBER('Prijava ekipa i izvlačenje br.'!F2)=TRUE,COUNTIF('Prijava ekipa i izvlačenje br.'!$E2,"B")=1),'Prijava ekipa i izvlačenje br.'!F2,IF(AND(ISNUMBER('Prijava ekipa i izvlačenje br.'!I2)=TRUE,COUNTIF('Prijava ekipa i izvlačenje br.'!$H2,"B")=1),'Prijava ekipa i izvlačenje br.'!I2,IF(AND(ISNUMBER('Prijava ekipa i izvlačenje br.'!L2)=TRUE,COUNTIF('Prijava ekipa i izvlačenje br.'!$K2,"B")=1),'Prijava ekipa i izvlačenje br.'!L2,IF(AND(ISNUMBER('Prijava ekipa i izvlačenje br.'!O2)=TRUE,COUNTIF('Prijava ekipa i izvlačenje br.'!$N2,"B")=1),'Prijava ekipa i izvlačenje br.'!O2,IF(AND(ISNUMBER('Prijava ekipa i izvlačenje br.'!R2)=TRUE,COUNTIF('Prijava ekipa i izvlačenje br.'!$Q2,"B")=1),'Prijava ekipa i izvlačenje br.'!R2,""))))))</f>
      </c>
      <c r="D2" s="430">
        <f>IF(ISBLANK('Prijava ekipa i izvlačenje br.'!C2)=TRUE,"",'Prijava ekipa i izvlačenje br.'!C2)</f>
      </c>
      <c r="E2" s="8">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c>
      <c r="F2" s="422"/>
      <c r="G2" s="53">
        <f>VLOOKUP(D2,'Upis rezultata A sektora'!$D$2:$M$13,7,0)</f>
        <v>2</v>
      </c>
      <c r="H2" s="53">
        <f>B2</f>
      </c>
      <c r="I2" s="53">
        <f>C2</f>
      </c>
      <c r="J2" s="422"/>
      <c r="K2" s="460"/>
      <c r="L2" s="458"/>
      <c r="M2" s="458"/>
      <c r="N2" s="458"/>
      <c r="O2" s="458"/>
      <c r="P2" s="458"/>
      <c r="Q2" s="458"/>
      <c r="R2" s="458"/>
      <c r="S2" s="458"/>
      <c r="T2" s="458"/>
      <c r="U2" s="458"/>
      <c r="V2" s="458"/>
    </row>
    <row r="3" spans="1:22" ht="12.75">
      <c r="A3" s="49"/>
      <c r="B3" s="54">
        <f>IF(AND(ISTEXT('Prijava ekipa i izvlačenje br.'!C3)=TRUE,ISNUMBER(F3)=FALSE,COUNTIF('Prijava ekipa i izvlačenje br.'!E3:'Prijava ekipa i izvlačenje br.'!Q3,"B")=0),COUNTA(D$2:D$13)-COUNTIF(D$2:D$13,"")+1,IF(AND(ISNUMBER(F3)=TRUE,ISNUMBER(J3)=TRUE),((COUNT(F$2:F$13)+1-RANK(F3,$F$2:$F$13,0)-RANK(F3,$F$2:$F$13,1))/2)+RANK(F3,$F$2:$F$13,0)+1,IF(ISNUMBER(F3)=TRUE,((COUNT(F$2:F$13)+1-RANK(F3,$F$2:$F$13,0)-RANK(F3,$F$2:$F$13,1))/2)+RANK(F3,$F$2:$F$13,0),"")))</f>
      </c>
      <c r="C3" s="55">
        <f>IF(AND(ISNUMBER('Prijava ekipa i izvlačenje br.'!A3)=TRUE,COUNTIF(E3,"")=0),'Prijava ekipa i izvlačenje br.'!A3,IF(AND(ISNUMBER('Prijava ekipa i izvlačenje br.'!F3)=TRUE,COUNTIF('Prijava ekipa i izvlačenje br.'!$E3,"B")=1),'Prijava ekipa i izvlačenje br.'!F3,IF(AND(ISNUMBER('Prijava ekipa i izvlačenje br.'!I3)=TRUE,COUNTIF('Prijava ekipa i izvlačenje br.'!$H3,"B")=1),'Prijava ekipa i izvlačenje br.'!I3,IF(AND(ISNUMBER('Prijava ekipa i izvlačenje br.'!L3)=TRUE,COUNTIF('Prijava ekipa i izvlačenje br.'!$K3,"B")=1),'Prijava ekipa i izvlačenje br.'!L3,IF(AND(ISNUMBER('Prijava ekipa i izvlačenje br.'!O3)=TRUE,COUNTIF('Prijava ekipa i izvlačenje br.'!$N3,"B")=1),'Prijava ekipa i izvlačenje br.'!O3,IF(AND(ISNUMBER('Prijava ekipa i izvlačenje br.'!R3)=TRUE,COUNTIF('Prijava ekipa i izvlačenje br.'!$Q3,"B")=1),'Prijava ekipa i izvlačenje br.'!R3,""))))))</f>
      </c>
      <c r="D3" s="430">
        <f>IF(ISBLANK('Prijava ekipa i izvlačenje br.'!C3)=TRUE,"",'Prijava ekipa i izvlačenje br.'!C3)</f>
      </c>
      <c r="E3" s="8">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c>
      <c r="F3" s="422"/>
      <c r="G3" s="53">
        <f>VLOOKUP(D3,'Upis rezultata A sektora'!$D$2:$M$13,7,0)</f>
        <v>2</v>
      </c>
      <c r="H3" s="53">
        <f aca="true" t="shared" si="0" ref="H3:H13">B3</f>
      </c>
      <c r="I3" s="53">
        <f aca="true" t="shared" si="1" ref="I3:I13">C3</f>
      </c>
      <c r="J3" s="422"/>
      <c r="K3" s="460"/>
      <c r="L3" s="458"/>
      <c r="M3" s="458"/>
      <c r="N3" s="458"/>
      <c r="O3" s="458"/>
      <c r="P3" s="458"/>
      <c r="Q3" s="458"/>
      <c r="R3" s="458"/>
      <c r="S3" s="458"/>
      <c r="T3" s="458"/>
      <c r="U3" s="458"/>
      <c r="V3" s="458"/>
    </row>
    <row r="4" spans="1:22" ht="12.75">
      <c r="A4" s="49"/>
      <c r="B4" s="54">
        <f>IF(AND(ISTEXT('Prijava ekipa i izvlačenje br.'!C4)=TRUE,ISNUMBER(F4)=FALSE,COUNTIF('Prijava ekipa i izvlačenje br.'!E4:'Prijava ekipa i izvlačenje br.'!Q4,"B")=0),COUNTA(D$2:D$13)-COUNTIF(D$2:D$13,"")+1,IF(AND(ISNUMBER(F4)=TRUE,ISNUMBER(J4)=TRUE),((COUNT(F$2:F$13)+1-RANK(F4,$F$2:$F$13,0)-RANK(F4,$F$2:$F$13,1))/2)+RANK(F4,$F$2:$F$13,0)+1,IF(ISNUMBER(F4)=TRUE,((COUNT(F$2:F$13)+1-RANK(F4,$F$2:$F$13,0)-RANK(F4,$F$2:$F$13,1))/2)+RANK(F4,$F$2:$F$13,0),"")))</f>
      </c>
      <c r="C4" s="55">
        <f>IF(AND(ISNUMBER('Prijava ekipa i izvlačenje br.'!A4)=TRUE,COUNTIF(E4,"")=0),'Prijava ekipa i izvlačenje br.'!A4,IF(AND(ISNUMBER('Prijava ekipa i izvlačenje br.'!F4)=TRUE,COUNTIF('Prijava ekipa i izvlačenje br.'!$E4,"B")=1),'Prijava ekipa i izvlačenje br.'!F4,IF(AND(ISNUMBER('Prijava ekipa i izvlačenje br.'!I4)=TRUE,COUNTIF('Prijava ekipa i izvlačenje br.'!$H4,"B")=1),'Prijava ekipa i izvlačenje br.'!I4,IF(AND(ISNUMBER('Prijava ekipa i izvlačenje br.'!L4)=TRUE,COUNTIF('Prijava ekipa i izvlačenje br.'!$K4,"B")=1),'Prijava ekipa i izvlačenje br.'!L4,IF(AND(ISNUMBER('Prijava ekipa i izvlačenje br.'!O4)=TRUE,COUNTIF('Prijava ekipa i izvlačenje br.'!$N4,"B")=1),'Prijava ekipa i izvlačenje br.'!O4,IF(AND(ISNUMBER('Prijava ekipa i izvlačenje br.'!R4)=TRUE,COUNTIF('Prijava ekipa i izvlačenje br.'!$Q4,"B")=1),'Prijava ekipa i izvlačenje br.'!R4,""))))))</f>
      </c>
      <c r="D4" s="430">
        <f>IF(ISBLANK('Prijava ekipa i izvlačenje br.'!C4)=TRUE,"",'Prijava ekipa i izvlačenje br.'!C4)</f>
      </c>
      <c r="E4" s="8">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c>
      <c r="F4" s="422"/>
      <c r="G4" s="53">
        <f>VLOOKUP(D4,'Upis rezultata A sektora'!$D$2:$M$13,7,0)</f>
        <v>2</v>
      </c>
      <c r="H4" s="53">
        <f t="shared" si="0"/>
      </c>
      <c r="I4" s="53">
        <f t="shared" si="1"/>
      </c>
      <c r="J4" s="422"/>
      <c r="K4" s="460"/>
      <c r="L4" s="458"/>
      <c r="M4" s="458"/>
      <c r="N4" s="458"/>
      <c r="O4" s="458"/>
      <c r="P4" s="458"/>
      <c r="Q4" s="458"/>
      <c r="R4" s="458"/>
      <c r="S4" s="458"/>
      <c r="T4" s="458"/>
      <c r="U4" s="458"/>
      <c r="V4" s="458"/>
    </row>
    <row r="5" spans="1:22" ht="12.75">
      <c r="A5" s="49"/>
      <c r="B5" s="54">
        <f>IF(AND(ISTEXT('Prijava ekipa i izvlačenje br.'!C5)=TRUE,ISNUMBER(F5)=FALSE,COUNTIF('Prijava ekipa i izvlačenje br.'!E5:'Prijava ekipa i izvlačenje br.'!Q5,"B")=0),COUNTA(D$2:D$13)-COUNTIF(D$2:D$13,"")+1,IF(AND(ISNUMBER(F5)=TRUE,ISNUMBER(J5)=TRUE),((COUNT(F$2:F$13)+1-RANK(F5,$F$2:$F$13,0)-RANK(F5,$F$2:$F$13,1))/2)+RANK(F5,$F$2:$F$13,0)+1,IF(ISNUMBER(F5)=TRUE,((COUNT(F$2:F$13)+1-RANK(F5,$F$2:$F$13,0)-RANK(F5,$F$2:$F$13,1))/2)+RANK(F5,$F$2:$F$13,0),"")))</f>
      </c>
      <c r="C5" s="55">
        <f>IF(AND(ISNUMBER('Prijava ekipa i izvlačenje br.'!A5)=TRUE,COUNTIF(E5,"")=0),'Prijava ekipa i izvlačenje br.'!A5,IF(AND(ISNUMBER('Prijava ekipa i izvlačenje br.'!F5)=TRUE,COUNTIF('Prijava ekipa i izvlačenje br.'!$E5,"B")=1),'Prijava ekipa i izvlačenje br.'!F5,IF(AND(ISNUMBER('Prijava ekipa i izvlačenje br.'!I5)=TRUE,COUNTIF('Prijava ekipa i izvlačenje br.'!$H5,"B")=1),'Prijava ekipa i izvlačenje br.'!I5,IF(AND(ISNUMBER('Prijava ekipa i izvlačenje br.'!L5)=TRUE,COUNTIF('Prijava ekipa i izvlačenje br.'!$K5,"B")=1),'Prijava ekipa i izvlačenje br.'!L5,IF(AND(ISNUMBER('Prijava ekipa i izvlačenje br.'!O5)=TRUE,COUNTIF('Prijava ekipa i izvlačenje br.'!$N5,"B")=1),'Prijava ekipa i izvlačenje br.'!O5,IF(AND(ISNUMBER('Prijava ekipa i izvlačenje br.'!R5)=TRUE,COUNTIF('Prijava ekipa i izvlačenje br.'!$Q5,"B")=1),'Prijava ekipa i izvlačenje br.'!R5,""))))))</f>
      </c>
      <c r="D5" s="430">
        <f>IF(ISBLANK('Prijava ekipa i izvlačenje br.'!C5)=TRUE,"",'Prijava ekipa i izvlačenje br.'!C5)</f>
      </c>
      <c r="E5" s="8">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c>
      <c r="F5" s="422"/>
      <c r="G5" s="53">
        <f>VLOOKUP(D5,'Upis rezultata A sektora'!$D$2:$M$13,7,0)</f>
        <v>2</v>
      </c>
      <c r="H5" s="53">
        <f t="shared" si="0"/>
      </c>
      <c r="I5" s="53">
        <f t="shared" si="1"/>
      </c>
      <c r="J5" s="422"/>
      <c r="K5" s="460"/>
      <c r="L5" s="458"/>
      <c r="M5" s="458"/>
      <c r="N5" s="458"/>
      <c r="O5" s="458"/>
      <c r="P5" s="458"/>
      <c r="Q5" s="458"/>
      <c r="R5" s="458"/>
      <c r="S5" s="458"/>
      <c r="T5" s="458"/>
      <c r="U5" s="458"/>
      <c r="V5" s="458"/>
    </row>
    <row r="6" spans="1:22" ht="12.75">
      <c r="A6" s="49"/>
      <c r="B6" s="54">
        <f>IF(AND(ISTEXT('Prijava ekipa i izvlačenje br.'!C6)=TRUE,ISNUMBER(F6)=FALSE,COUNTIF('Prijava ekipa i izvlačenje br.'!E6:'Prijava ekipa i izvlačenje br.'!Q6,"B")=0),COUNTA(D$2:D$13)-COUNTIF(D$2:D$13,"")+1,IF(AND(ISNUMBER(F6)=TRUE,ISNUMBER(J6)=TRUE),((COUNT(F$2:F$13)+1-RANK(F6,$F$2:$F$13,0)-RANK(F6,$F$2:$F$13,1))/2)+RANK(F6,$F$2:$F$13,0)+1,IF(ISNUMBER(F6)=TRUE,((COUNT(F$2:F$13)+1-RANK(F6,$F$2:$F$13,0)-RANK(F6,$F$2:$F$13,1))/2)+RANK(F6,$F$2:$F$13,0),"")))</f>
      </c>
      <c r="C6" s="55">
        <f>IF(AND(ISNUMBER('Prijava ekipa i izvlačenje br.'!A6)=TRUE,COUNTIF(E6,"")=0),'Prijava ekipa i izvlačenje br.'!A6,IF(AND(ISNUMBER('Prijava ekipa i izvlačenje br.'!F6)=TRUE,COUNTIF('Prijava ekipa i izvlačenje br.'!$E6,"B")=1),'Prijava ekipa i izvlačenje br.'!F6,IF(AND(ISNUMBER('Prijava ekipa i izvlačenje br.'!I6)=TRUE,COUNTIF('Prijava ekipa i izvlačenje br.'!$H6,"B")=1),'Prijava ekipa i izvlačenje br.'!I6,IF(AND(ISNUMBER('Prijava ekipa i izvlačenje br.'!L6)=TRUE,COUNTIF('Prijava ekipa i izvlačenje br.'!$K6,"B")=1),'Prijava ekipa i izvlačenje br.'!L6,IF(AND(ISNUMBER('Prijava ekipa i izvlačenje br.'!O6)=TRUE,COUNTIF('Prijava ekipa i izvlačenje br.'!$N6,"B")=1),'Prijava ekipa i izvlačenje br.'!O6,IF(AND(ISNUMBER('Prijava ekipa i izvlačenje br.'!R6)=TRUE,COUNTIF('Prijava ekipa i izvlačenje br.'!$Q6,"B")=1),'Prijava ekipa i izvlačenje br.'!R6,""))))))</f>
      </c>
      <c r="D6" s="430">
        <f>IF(ISBLANK('Prijava ekipa i izvlačenje br.'!C6)=TRUE,"",'Prijava ekipa i izvlačenje br.'!C6)</f>
      </c>
      <c r="E6" s="8">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c>
      <c r="F6" s="422"/>
      <c r="G6" s="53">
        <f>VLOOKUP(D6,'Upis rezultata A sektora'!$D$2:$M$13,7,0)</f>
        <v>2</v>
      </c>
      <c r="H6" s="53">
        <f t="shared" si="0"/>
      </c>
      <c r="I6" s="53">
        <f t="shared" si="1"/>
      </c>
      <c r="J6" s="422"/>
      <c r="K6" s="460"/>
      <c r="L6" s="458"/>
      <c r="M6" s="458"/>
      <c r="N6" s="458"/>
      <c r="O6" s="458"/>
      <c r="P6" s="458"/>
      <c r="Q6" s="458"/>
      <c r="R6" s="458"/>
      <c r="S6" s="458"/>
      <c r="T6" s="458"/>
      <c r="U6" s="458"/>
      <c r="V6" s="458"/>
    </row>
    <row r="7" spans="1:22" ht="12.75">
      <c r="A7" s="49"/>
      <c r="B7" s="54">
        <f>IF(AND(ISTEXT('Prijava ekipa i izvlačenje br.'!C7)=TRUE,ISNUMBER(F7)=FALSE,COUNTIF('Prijava ekipa i izvlačenje br.'!E7:'Prijava ekipa i izvlačenje br.'!Q7,"B")=0),COUNTA(D$2:D$13)-COUNTIF(D$2:D$13,"")+1,IF(AND(ISNUMBER(F7)=TRUE,ISNUMBER(J7)=TRUE),((COUNT(F$2:F$13)+1-RANK(F7,$F$2:$F$13,0)-RANK(F7,$F$2:$F$13,1))/2)+RANK(F7,$F$2:$F$13,0)+1,IF(ISNUMBER(F7)=TRUE,((COUNT(F$2:F$13)+1-RANK(F7,$F$2:$F$13,0)-RANK(F7,$F$2:$F$13,1))/2)+RANK(F7,$F$2:$F$13,0),"")))</f>
      </c>
      <c r="C7" s="55">
        <f>IF(AND(ISNUMBER('Prijava ekipa i izvlačenje br.'!A7)=TRUE,COUNTIF(E7,"")=0),'Prijava ekipa i izvlačenje br.'!A7,IF(AND(ISNUMBER('Prijava ekipa i izvlačenje br.'!F7)=TRUE,COUNTIF('Prijava ekipa i izvlačenje br.'!$E7,"B")=1),'Prijava ekipa i izvlačenje br.'!F7,IF(AND(ISNUMBER('Prijava ekipa i izvlačenje br.'!I7)=TRUE,COUNTIF('Prijava ekipa i izvlačenje br.'!$H7,"B")=1),'Prijava ekipa i izvlačenje br.'!I7,IF(AND(ISNUMBER('Prijava ekipa i izvlačenje br.'!L7)=TRUE,COUNTIF('Prijava ekipa i izvlačenje br.'!$K7,"B")=1),'Prijava ekipa i izvlačenje br.'!L7,IF(AND(ISNUMBER('Prijava ekipa i izvlačenje br.'!O7)=TRUE,COUNTIF('Prijava ekipa i izvlačenje br.'!$N7,"B")=1),'Prijava ekipa i izvlačenje br.'!O7,IF(AND(ISNUMBER('Prijava ekipa i izvlačenje br.'!R7)=TRUE,COUNTIF('Prijava ekipa i izvlačenje br.'!$Q7,"B")=1),'Prijava ekipa i izvlačenje br.'!R7,""))))))</f>
      </c>
      <c r="D7" s="430">
        <f>IF(ISBLANK('Prijava ekipa i izvlačenje br.'!C7)=TRUE,"",'Prijava ekipa i izvlačenje br.'!C7)</f>
      </c>
      <c r="E7" s="8">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c>
      <c r="F7" s="422"/>
      <c r="G7" s="53">
        <f>VLOOKUP(D7,'Upis rezultata A sektora'!$D$2:$M$13,7,0)</f>
        <v>2</v>
      </c>
      <c r="H7" s="53">
        <f t="shared" si="0"/>
      </c>
      <c r="I7" s="53">
        <f t="shared" si="1"/>
      </c>
      <c r="J7" s="422"/>
      <c r="K7" s="460"/>
      <c r="L7" s="458"/>
      <c r="M7" s="458"/>
      <c r="N7" s="458"/>
      <c r="O7" s="458"/>
      <c r="P7" s="458"/>
      <c r="Q7" s="458"/>
      <c r="R7" s="458"/>
      <c r="S7" s="458"/>
      <c r="T7" s="458"/>
      <c r="U7" s="458"/>
      <c r="V7" s="458"/>
    </row>
    <row r="8" spans="1:22" ht="12.75">
      <c r="A8" s="49"/>
      <c r="B8" s="54">
        <f>IF(AND(ISTEXT('Prijava ekipa i izvlačenje br.'!C8)=TRUE,ISNUMBER(F8)=FALSE,COUNTIF('Prijava ekipa i izvlačenje br.'!E8:'Prijava ekipa i izvlačenje br.'!Q8,"B")=0),COUNTA(D$2:D$13)-COUNTIF(D$2:D$13,"")+1,IF(AND(ISNUMBER(F8)=TRUE,ISNUMBER(J8)=TRUE),((COUNT(F$2:F$13)+1-RANK(F8,$F$2:$F$13,0)-RANK(F8,$F$2:$F$13,1))/2)+RANK(F8,$F$2:$F$13,0)+1,IF(ISNUMBER(F8)=TRUE,((COUNT(F$2:F$13)+1-RANK(F8,$F$2:$F$13,0)-RANK(F8,$F$2:$F$13,1))/2)+RANK(F8,$F$2:$F$13,0),"")))</f>
      </c>
      <c r="C8" s="55">
        <f>IF(AND(ISNUMBER('Prijava ekipa i izvlačenje br.'!A8)=TRUE,COUNTIF(E8,"")=0),'Prijava ekipa i izvlačenje br.'!A8,IF(AND(ISNUMBER('Prijava ekipa i izvlačenje br.'!F8)=TRUE,COUNTIF('Prijava ekipa i izvlačenje br.'!$E8,"B")=1),'Prijava ekipa i izvlačenje br.'!F8,IF(AND(ISNUMBER('Prijava ekipa i izvlačenje br.'!I8)=TRUE,COUNTIF('Prijava ekipa i izvlačenje br.'!$H8,"B")=1),'Prijava ekipa i izvlačenje br.'!I8,IF(AND(ISNUMBER('Prijava ekipa i izvlačenje br.'!L8)=TRUE,COUNTIF('Prijava ekipa i izvlačenje br.'!$K8,"B")=1),'Prijava ekipa i izvlačenje br.'!L8,IF(AND(ISNUMBER('Prijava ekipa i izvlačenje br.'!O8)=TRUE,COUNTIF('Prijava ekipa i izvlačenje br.'!$N8,"B")=1),'Prijava ekipa i izvlačenje br.'!O8,IF(AND(ISNUMBER('Prijava ekipa i izvlačenje br.'!R8)=TRUE,COUNTIF('Prijava ekipa i izvlačenje br.'!$Q8,"B")=1),'Prijava ekipa i izvlačenje br.'!R8,""))))))</f>
      </c>
      <c r="D8" s="430">
        <f>IF(ISBLANK('Prijava ekipa i izvlačenje br.'!C8)=TRUE,"",'Prijava ekipa i izvlačenje br.'!C8)</f>
      </c>
      <c r="E8" s="8">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c>
      <c r="F8" s="422"/>
      <c r="G8" s="53">
        <f>VLOOKUP(D8,'Upis rezultata A sektora'!$D$2:$M$13,7,0)</f>
        <v>2</v>
      </c>
      <c r="H8" s="53">
        <f t="shared" si="0"/>
      </c>
      <c r="I8" s="53">
        <f t="shared" si="1"/>
      </c>
      <c r="J8" s="422"/>
      <c r="K8" s="460"/>
      <c r="L8" s="458"/>
      <c r="M8" s="458"/>
      <c r="N8" s="458"/>
      <c r="O8" s="458"/>
      <c r="P8" s="458"/>
      <c r="Q8" s="458"/>
      <c r="R8" s="458"/>
      <c r="S8" s="458"/>
      <c r="T8" s="458"/>
      <c r="U8" s="458"/>
      <c r="V8" s="458"/>
    </row>
    <row r="9" spans="1:22" ht="12.75">
      <c r="A9" s="49"/>
      <c r="B9" s="54">
        <f>IF(AND(ISTEXT('Prijava ekipa i izvlačenje br.'!C9)=TRUE,ISNUMBER(F9)=FALSE,COUNTIF('Prijava ekipa i izvlačenje br.'!E9:'Prijava ekipa i izvlačenje br.'!Q9,"B")=0),COUNTA(D$2:D$13)-COUNTIF(D$2:D$13,"")+1,IF(AND(ISNUMBER(F9)=TRUE,ISNUMBER(J9)=TRUE),((COUNT(F$2:F$13)+1-RANK(F9,$F$2:$F$13,0)-RANK(F9,$F$2:$F$13,1))/2)+RANK(F9,$F$2:$F$13,0)+1,IF(ISNUMBER(F9)=TRUE,((COUNT(F$2:F$13)+1-RANK(F9,$F$2:$F$13,0)-RANK(F9,$F$2:$F$13,1))/2)+RANK(F9,$F$2:$F$13,0),"")))</f>
      </c>
      <c r="C9" s="55">
        <f>IF(AND(ISNUMBER('Prijava ekipa i izvlačenje br.'!A9)=TRUE,COUNTIF(E9,"")=0),'Prijava ekipa i izvlačenje br.'!A9,IF(AND(ISNUMBER('Prijava ekipa i izvlačenje br.'!F9)=TRUE,COUNTIF('Prijava ekipa i izvlačenje br.'!$E9,"B")=1),'Prijava ekipa i izvlačenje br.'!F9,IF(AND(ISNUMBER('Prijava ekipa i izvlačenje br.'!I9)=TRUE,COUNTIF('Prijava ekipa i izvlačenje br.'!$H9,"B")=1),'Prijava ekipa i izvlačenje br.'!I9,IF(AND(ISNUMBER('Prijava ekipa i izvlačenje br.'!L9)=TRUE,COUNTIF('Prijava ekipa i izvlačenje br.'!$K9,"B")=1),'Prijava ekipa i izvlačenje br.'!L9,IF(AND(ISNUMBER('Prijava ekipa i izvlačenje br.'!O9)=TRUE,COUNTIF('Prijava ekipa i izvlačenje br.'!$N9,"B")=1),'Prijava ekipa i izvlačenje br.'!O9,IF(AND(ISNUMBER('Prijava ekipa i izvlačenje br.'!R9)=TRUE,COUNTIF('Prijava ekipa i izvlačenje br.'!$Q9,"B")=1),'Prijava ekipa i izvlačenje br.'!R9,""))))))</f>
      </c>
      <c r="D9" s="430">
        <f>IF(ISBLANK('Prijava ekipa i izvlačenje br.'!C9)=TRUE,"",'Prijava ekipa i izvlačenje br.'!C9)</f>
      </c>
      <c r="E9" s="8">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c>
      <c r="F9" s="422"/>
      <c r="G9" s="53">
        <f>VLOOKUP(D9,'Upis rezultata A sektora'!$D$2:$M$13,7,0)</f>
        <v>2</v>
      </c>
      <c r="H9" s="53">
        <f t="shared" si="0"/>
      </c>
      <c r="I9" s="53">
        <f t="shared" si="1"/>
      </c>
      <c r="J9" s="422"/>
      <c r="K9" s="460"/>
      <c r="L9" s="458"/>
      <c r="M9" s="458"/>
      <c r="N9" s="458"/>
      <c r="O9" s="458"/>
      <c r="P9" s="458"/>
      <c r="Q9" s="458"/>
      <c r="R9" s="458"/>
      <c r="S9" s="458"/>
      <c r="T9" s="458"/>
      <c r="U9" s="458"/>
      <c r="V9" s="458"/>
    </row>
    <row r="10" spans="1:22" ht="12.75">
      <c r="A10" s="49"/>
      <c r="B10" s="54">
        <f>IF(AND(ISTEXT('Prijava ekipa i izvlačenje br.'!C10)=TRUE,ISNUMBER(F10)=FALSE,COUNTIF('Prijava ekipa i izvlačenje br.'!E10:'Prijava ekipa i izvlačenje br.'!Q10,"B")=0),COUNTA(D$2:D$13)-COUNTIF(D$2:D$13,"")+1,IF(AND(ISNUMBER(F10)=TRUE,ISNUMBER(J10)=TRUE),((COUNT(F$2:F$13)+1-RANK(F10,$F$2:$F$13,0)-RANK(F10,$F$2:$F$13,1))/2)+RANK(F10,$F$2:$F$13,0)+1,IF(ISNUMBER(F10)=TRUE,((COUNT(F$2:F$13)+1-RANK(F10,$F$2:$F$13,0)-RANK(F10,$F$2:$F$13,1))/2)+RANK(F10,$F$2:$F$13,0),"")))</f>
      </c>
      <c r="C10" s="55">
        <f>IF(AND(ISNUMBER('Prijava ekipa i izvlačenje br.'!A10)=TRUE,COUNTIF(E10,"")=0),'Prijava ekipa i izvlačenje br.'!A10,IF(AND(ISNUMBER('Prijava ekipa i izvlačenje br.'!F10)=TRUE,COUNTIF('Prijava ekipa i izvlačenje br.'!$E10,"B")=1),'Prijava ekipa i izvlačenje br.'!F10,IF(AND(ISNUMBER('Prijava ekipa i izvlačenje br.'!I10)=TRUE,COUNTIF('Prijava ekipa i izvlačenje br.'!$H10,"B")=1),'Prijava ekipa i izvlačenje br.'!I10,IF(AND(ISNUMBER('Prijava ekipa i izvlačenje br.'!L10)=TRUE,COUNTIF('Prijava ekipa i izvlačenje br.'!$K10,"B")=1),'Prijava ekipa i izvlačenje br.'!L10,IF(AND(ISNUMBER('Prijava ekipa i izvlačenje br.'!O10)=TRUE,COUNTIF('Prijava ekipa i izvlačenje br.'!$N10,"B")=1),'Prijava ekipa i izvlačenje br.'!O10,IF(AND(ISNUMBER('Prijava ekipa i izvlačenje br.'!R10)=TRUE,COUNTIF('Prijava ekipa i izvlačenje br.'!$Q10,"B")=1),'Prijava ekipa i izvlačenje br.'!R10,""))))))</f>
      </c>
      <c r="D10" s="430">
        <f>IF(ISBLANK('Prijava ekipa i izvlačenje br.'!C10)=TRUE,"",'Prijava ekipa i izvlačenje br.'!C10)</f>
      </c>
      <c r="E10" s="8">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c>
      <c r="F10" s="422"/>
      <c r="G10" s="53">
        <f>VLOOKUP(D10,'Upis rezultata A sektora'!$D$2:$M$13,7,0)</f>
        <v>2</v>
      </c>
      <c r="H10" s="53">
        <f t="shared" si="0"/>
      </c>
      <c r="I10" s="53">
        <f t="shared" si="1"/>
      </c>
      <c r="J10" s="422"/>
      <c r="K10" s="460"/>
      <c r="L10" s="458"/>
      <c r="M10" s="458"/>
      <c r="N10" s="458"/>
      <c r="O10" s="458"/>
      <c r="P10" s="458"/>
      <c r="Q10" s="458"/>
      <c r="R10" s="458"/>
      <c r="S10" s="458"/>
      <c r="T10" s="458"/>
      <c r="U10" s="458"/>
      <c r="V10" s="458"/>
    </row>
    <row r="11" spans="1:22" ht="12.75">
      <c r="A11" s="49"/>
      <c r="B11" s="54">
        <f>IF(AND(ISTEXT('Prijava ekipa i izvlačenje br.'!C11)=TRUE,ISNUMBER(F11)=FALSE,COUNTIF('Prijava ekipa i izvlačenje br.'!E11:'Prijava ekipa i izvlačenje br.'!Q11,"B")=0),COUNTA(D$2:D$13)-COUNTIF(D$2:D$13,"")+1,IF(AND(ISNUMBER(F11)=TRUE,ISNUMBER(J11)=TRUE),((COUNT(F$2:F$13)+1-RANK(F11,$F$2:$F$13,0)-RANK(F11,$F$2:$F$13,1))/2)+RANK(F11,$F$2:$F$13,0)+1,IF(ISNUMBER(F11)=TRUE,((COUNT(F$2:F$13)+1-RANK(F11,$F$2:$F$13,0)-RANK(F11,$F$2:$F$13,1))/2)+RANK(F11,$F$2:$F$13,0),"")))</f>
      </c>
      <c r="C11" s="55">
        <f>IF(AND(ISNUMBER('Prijava ekipa i izvlačenje br.'!A11)=TRUE,COUNTIF(E11,"")=0),'Prijava ekipa i izvlačenje br.'!A11,IF(AND(ISNUMBER('Prijava ekipa i izvlačenje br.'!F11)=TRUE,COUNTIF('Prijava ekipa i izvlačenje br.'!$E11,"B")=1),'Prijava ekipa i izvlačenje br.'!F11,IF(AND(ISNUMBER('Prijava ekipa i izvlačenje br.'!I11)=TRUE,COUNTIF('Prijava ekipa i izvlačenje br.'!$H11,"B")=1),'Prijava ekipa i izvlačenje br.'!I11,IF(AND(ISNUMBER('Prijava ekipa i izvlačenje br.'!L11)=TRUE,COUNTIF('Prijava ekipa i izvlačenje br.'!$K11,"B")=1),'Prijava ekipa i izvlačenje br.'!L11,IF(AND(ISNUMBER('Prijava ekipa i izvlačenje br.'!O11)=TRUE,COUNTIF('Prijava ekipa i izvlačenje br.'!$N11,"B")=1),'Prijava ekipa i izvlačenje br.'!O11,IF(AND(ISNUMBER('Prijava ekipa i izvlačenje br.'!R11)=TRUE,COUNTIF('Prijava ekipa i izvlačenje br.'!$Q11,"B")=1),'Prijava ekipa i izvlačenje br.'!R11,""))))))</f>
      </c>
      <c r="D11" s="430">
        <f>IF(ISBLANK('Prijava ekipa i izvlačenje br.'!C11)=TRUE,"",'Prijava ekipa i izvlačenje br.'!C11)</f>
      </c>
      <c r="E11" s="8">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c>
      <c r="F11" s="422"/>
      <c r="G11" s="53">
        <f>VLOOKUP(D11,'Upis rezultata A sektora'!$D$2:$M$13,7,0)</f>
        <v>2</v>
      </c>
      <c r="H11" s="53">
        <f t="shared" si="0"/>
      </c>
      <c r="I11" s="53">
        <f t="shared" si="1"/>
      </c>
      <c r="J11" s="422"/>
      <c r="K11" s="460"/>
      <c r="L11" s="458"/>
      <c r="M11" s="458"/>
      <c r="N11" s="458"/>
      <c r="O11" s="458"/>
      <c r="P11" s="458"/>
      <c r="Q11" s="458"/>
      <c r="R11" s="458"/>
      <c r="S11" s="458"/>
      <c r="T11" s="458"/>
      <c r="U11" s="458"/>
      <c r="V11" s="458"/>
    </row>
    <row r="12" spans="1:22" ht="12.75">
      <c r="A12" s="49"/>
      <c r="B12" s="54">
        <f>IF(AND(ISTEXT('Prijava ekipa i izvlačenje br.'!C12)=TRUE,ISNUMBER(F12)=FALSE,COUNTIF('Prijava ekipa i izvlačenje br.'!E12:'Prijava ekipa i izvlačenje br.'!Q12,"B")=0),COUNTA(D$2:D$13)-COUNTIF(D$2:D$13,"")+1,IF(AND(ISNUMBER(F12)=TRUE,ISNUMBER(J12)=TRUE),((COUNT(F$2:F$13)+1-RANK(F12,$F$2:$F$13,0)-RANK(F12,$F$2:$F$13,1))/2)+RANK(F12,$F$2:$F$13,0)+1,IF(ISNUMBER(F12)=TRUE,((COUNT(F$2:F$13)+1-RANK(F12,$F$2:$F$13,0)-RANK(F12,$F$2:$F$13,1))/2)+RANK(F12,$F$2:$F$13,0),"")))</f>
      </c>
      <c r="C12" s="55">
        <f>IF(AND(ISNUMBER('Prijava ekipa i izvlačenje br.'!A12)=TRUE,COUNTIF(E12,"")=0),'Prijava ekipa i izvlačenje br.'!A12,IF(AND(ISNUMBER('Prijava ekipa i izvlačenje br.'!F12)=TRUE,COUNTIF('Prijava ekipa i izvlačenje br.'!$E12,"B")=1),'Prijava ekipa i izvlačenje br.'!F12,IF(AND(ISNUMBER('Prijava ekipa i izvlačenje br.'!I12)=TRUE,COUNTIF('Prijava ekipa i izvlačenje br.'!$H12,"B")=1),'Prijava ekipa i izvlačenje br.'!I12,IF(AND(ISNUMBER('Prijava ekipa i izvlačenje br.'!L12)=TRUE,COUNTIF('Prijava ekipa i izvlačenje br.'!$K12,"B")=1),'Prijava ekipa i izvlačenje br.'!L12,IF(AND(ISNUMBER('Prijava ekipa i izvlačenje br.'!O12)=TRUE,COUNTIF('Prijava ekipa i izvlačenje br.'!$N12,"B")=1),'Prijava ekipa i izvlačenje br.'!O12,IF(AND(ISNUMBER('Prijava ekipa i izvlačenje br.'!R12)=TRUE,COUNTIF('Prijava ekipa i izvlačenje br.'!$Q12,"B")=1),'Prijava ekipa i izvlačenje br.'!R12,""))))))</f>
      </c>
      <c r="D12" s="430">
        <f>IF(ISBLANK('Prijava ekipa i izvlačenje br.'!C12)=TRUE,"",'Prijava ekipa i izvlačenje br.'!C12)</f>
      </c>
      <c r="E12" s="8">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c>
      <c r="F12" s="422"/>
      <c r="G12" s="53">
        <f>VLOOKUP(D12,'Upis rezultata A sektora'!$D$2:$M$13,7,0)</f>
        <v>2</v>
      </c>
      <c r="H12" s="53">
        <f t="shared" si="0"/>
      </c>
      <c r="I12" s="53">
        <f t="shared" si="1"/>
      </c>
      <c r="J12" s="422"/>
      <c r="K12" s="460"/>
      <c r="L12" s="458"/>
      <c r="M12" s="458"/>
      <c r="N12" s="458"/>
      <c r="O12" s="458"/>
      <c r="P12" s="458"/>
      <c r="Q12" s="458"/>
      <c r="R12" s="458"/>
      <c r="S12" s="458"/>
      <c r="T12" s="458"/>
      <c r="U12" s="458"/>
      <c r="V12" s="458"/>
    </row>
    <row r="13" spans="1:22" ht="13.5" thickBot="1">
      <c r="A13" s="431"/>
      <c r="B13" s="425">
        <f>IF(AND(ISTEXT('Prijava ekipa i izvlačenje br.'!C13)=TRUE,ISNUMBER(F13)=FALSE,COUNTIF('Prijava ekipa i izvlačenje br.'!E13:'Prijava ekipa i izvlačenje br.'!Q13,"B")=0),COUNTA(D$2:D$13)-COUNTIF(D$2:D$13,"")+1,IF(AND(ISNUMBER(F13)=TRUE,ISNUMBER(J13)=TRUE),((COUNT(F$2:F$13)+1-RANK(F13,$F$2:$F$13,0)-RANK(F13,$F$2:$F$13,1))/2)+RANK(F13,$F$2:$F$13,0)+1,IF(ISNUMBER(F13)=TRUE,((COUNT(F$2:F$13)+1-RANK(F13,$F$2:$F$13,0)-RANK(F13,$F$2:$F$13,1))/2)+RANK(F13,$F$2:$F$13,0),"")))</f>
      </c>
      <c r="C13" s="426">
        <f>IF(AND(ISNUMBER('Prijava ekipa i izvlačenje br.'!A13)=TRUE,COUNTIF(E13,"")=0),'Prijava ekipa i izvlačenje br.'!A13,IF(AND(ISNUMBER('Prijava ekipa i izvlačenje br.'!F13)=TRUE,COUNTIF('Prijava ekipa i izvlačenje br.'!$E13,"B")=1),'Prijava ekipa i izvlačenje br.'!F13,IF(AND(ISNUMBER('Prijava ekipa i izvlačenje br.'!I13)=TRUE,COUNTIF('Prijava ekipa i izvlačenje br.'!$H13,"B")=1),'Prijava ekipa i izvlačenje br.'!I13,IF(AND(ISNUMBER('Prijava ekipa i izvlačenje br.'!L13)=TRUE,COUNTIF('Prijava ekipa i izvlačenje br.'!$K13,"B")=1),'Prijava ekipa i izvlačenje br.'!L13,IF(AND(ISNUMBER('Prijava ekipa i izvlačenje br.'!O13)=TRUE,COUNTIF('Prijava ekipa i izvlačenje br.'!$N13,"B")=1),'Prijava ekipa i izvlačenje br.'!O13,IF(AND(ISNUMBER('Prijava ekipa i izvlačenje br.'!R13)=TRUE,COUNTIF('Prijava ekipa i izvlačenje br.'!$Q13,"B")=1),'Prijava ekipa i izvlačenje br.'!R13,""))))))</f>
      </c>
      <c r="D13" s="432">
        <f>IF(ISBLANK('Prijava ekipa i izvlačenje br.'!C13)=TRUE,"",'Prijava ekipa i izvlačenje br.'!C13)</f>
      </c>
      <c r="E13" s="433">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c>
      <c r="F13" s="428"/>
      <c r="G13" s="434">
        <f>VLOOKUP(D13,'Upis rezultata A sektora'!$D$2:$M$13,7,0)</f>
        <v>2</v>
      </c>
      <c r="H13" s="434">
        <f t="shared" si="0"/>
      </c>
      <c r="I13" s="434">
        <f t="shared" si="1"/>
      </c>
      <c r="J13" s="428"/>
      <c r="K13" s="460"/>
      <c r="L13" s="458"/>
      <c r="M13" s="458"/>
      <c r="N13" s="458"/>
      <c r="O13" s="458"/>
      <c r="P13" s="458"/>
      <c r="Q13" s="458"/>
      <c r="R13" s="458"/>
      <c r="S13" s="458"/>
      <c r="T13" s="458"/>
      <c r="U13" s="458"/>
      <c r="V13" s="458"/>
    </row>
  </sheetData>
  <sheetProtection password="C7E2" sheet="1" objects="1" scenarios="1"/>
  <printOptions/>
  <pageMargins left="0.7480314960629921" right="0.7480314960629921" top="0.984251968503937" bottom="0.984251968503937" header="0.5118110236220472" footer="0.5118110236220472"/>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2.xml><?xml version="1.0" encoding="utf-8"?>
<worksheet xmlns="http://schemas.openxmlformats.org/spreadsheetml/2006/main" xmlns:r="http://schemas.openxmlformats.org/officeDocument/2006/relationships">
  <sheetPr codeName="Sheet10">
    <tabColor indexed="10"/>
  </sheetPr>
  <dimension ref="A1:M13"/>
  <sheetViews>
    <sheetView showRowColHeaders="0" zoomScalePageLayoutView="0" workbookViewId="0" topLeftCell="A1">
      <selection activeCell="F2" sqref="F2"/>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140625" style="444" customWidth="1"/>
    <col min="7" max="9" width="0" style="459" hidden="1" customWidth="1"/>
    <col min="10" max="16384" width="9.140625" style="444" customWidth="1"/>
  </cols>
  <sheetData>
    <row r="1" spans="1:13" ht="255">
      <c r="A1" s="196"/>
      <c r="B1" s="146" t="s">
        <v>72</v>
      </c>
      <c r="C1" s="146" t="s">
        <v>22</v>
      </c>
      <c r="D1" s="140" t="s">
        <v>20</v>
      </c>
      <c r="E1" s="140" t="s">
        <v>73</v>
      </c>
      <c r="F1" s="195" t="s">
        <v>74</v>
      </c>
      <c r="G1" s="419" t="s">
        <v>22</v>
      </c>
      <c r="H1" s="419" t="str">
        <f>B1</f>
        <v>Sektorski plasman</v>
      </c>
      <c r="I1" s="419" t="s">
        <v>136</v>
      </c>
      <c r="J1" s="145" t="s">
        <v>145</v>
      </c>
      <c r="K1" s="456"/>
      <c r="L1" s="449"/>
      <c r="M1" s="449"/>
    </row>
    <row r="2" spans="1:11" ht="12.75">
      <c r="A2" s="49"/>
      <c r="B2" s="54">
        <f>IF(AND(ISTEXT('Prijava ekipa i izvlačenje br.'!C2)=TRUE,ISNUMBER(F2)=FALSE,COUNTIF('Prijava ekipa i izvlačenje br.'!E2:'Prijava ekipa i izvlačenje br.'!Q2,"C")=0),COUNTA(D$2:D$13)-COUNTIF(D$2:D$13,"")+1,IF(AND(ISNUMBER(F2)=TRUE,ISNUMBER(J2)=TRUE),((COUNT(F$2:F$13)+1-RANK(F2,$F$2:$F$13,0)-RANK(F2,$F$2:$F$13,1))/2)+RANK(F2,$F$2:$F$13,0)+1,IF(ISNUMBER(F2)=TRUE,((COUNT(F$2:F$13)+1-RANK(F2,$F$2:$F$13,0)-RANK(F2,$F$2:$F$13,1))/2)+RANK(F2,$F$2:$F$13,0),"")))</f>
      </c>
      <c r="C2" s="55">
        <f>IF(AND(ISNUMBER('Prijava ekipa i izvlačenje br.'!A2)=TRUE,COUNTIF(E2,"")=0),'Prijava ekipa i izvlačenje br.'!A2,IF(AND(ISNUMBER('Prijava ekipa i izvlačenje br.'!F2)=TRUE,COUNTIF('Prijava ekipa i izvlačenje br.'!$E2,"C")=1),'Prijava ekipa i izvlačenje br.'!F2,IF(AND(ISNUMBER('Prijava ekipa i izvlačenje br.'!I2)=TRUE,COUNTIF('Prijava ekipa i izvlačenje br.'!$H2,"C")=1),'Prijava ekipa i izvlačenje br.'!I2,IF(AND(ISNUMBER('Prijava ekipa i izvlačenje br.'!L2)=TRUE,COUNTIF('Prijava ekipa i izvlačenje br.'!$K2,"C")=1),'Prijava ekipa i izvlačenje br.'!L2,IF(AND(ISNUMBER('Prijava ekipa i izvlačenje br.'!O2)=TRUE,COUNTIF('Prijava ekipa i izvlačenje br.'!$N2,"C")=1),'Prijava ekipa i izvlačenje br.'!O2,IF(AND(ISNUMBER('Prijava ekipa i izvlačenje br.'!R2)=TRUE,COUNTIF('Prijava ekipa i izvlačenje br.'!$Q2,"C")=1),'Prijava ekipa i izvlačenje br.'!R2,""))))))</f>
      </c>
      <c r="D2" s="8">
        <f>IF(ISBLANK('Prijava ekipa i izvlačenje br.'!C2)=TRUE,"",'Prijava ekipa i izvlačenje br.'!C2)</f>
      </c>
      <c r="E2" s="8">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c>
      <c r="F2" s="422"/>
      <c r="G2" s="53">
        <f>VLOOKUP(D2,'Upis rezultata A sektora'!$D$2:$M$13,8,0)</f>
        <v>3</v>
      </c>
      <c r="H2" s="53">
        <f>B2</f>
      </c>
      <c r="I2" s="53">
        <f>C2</f>
      </c>
      <c r="J2" s="422"/>
      <c r="K2" s="460"/>
    </row>
    <row r="3" spans="1:11" ht="12.75">
      <c r="A3" s="49"/>
      <c r="B3" s="54">
        <f>IF(AND(ISTEXT('Prijava ekipa i izvlačenje br.'!C3)=TRUE,ISNUMBER(F3)=FALSE,COUNTIF('Prijava ekipa i izvlačenje br.'!E3:'Prijava ekipa i izvlačenje br.'!Q3,"C")=0),COUNTA(D$2:D$13)-COUNTIF(D$2:D$13,"")+1,IF(AND(ISNUMBER(F3)=TRUE,ISNUMBER(J3)=TRUE),((COUNT(F$2:F$13)+1-RANK(F3,$F$2:$F$13,0)-RANK(F3,$F$2:$F$13,1))/2)+RANK(F3,$F$2:$F$13,0)+1,IF(ISNUMBER(F3)=TRUE,((COUNT(F$2:F$13)+1-RANK(F3,$F$2:$F$13,0)-RANK(F3,$F$2:$F$13,1))/2)+RANK(F3,$F$2:$F$13,0),"")))</f>
      </c>
      <c r="C3" s="55">
        <f>IF(AND(ISNUMBER('Prijava ekipa i izvlačenje br.'!A3)=TRUE,COUNTIF(E3,"")=0),'Prijava ekipa i izvlačenje br.'!A3,IF(AND(ISNUMBER('Prijava ekipa i izvlačenje br.'!F3)=TRUE,COUNTIF('Prijava ekipa i izvlačenje br.'!$E3,"C")=1),'Prijava ekipa i izvlačenje br.'!F3,IF(AND(ISNUMBER('Prijava ekipa i izvlačenje br.'!I3)=TRUE,COUNTIF('Prijava ekipa i izvlačenje br.'!$H3,"C")=1),'Prijava ekipa i izvlačenje br.'!I3,IF(AND(ISNUMBER('Prijava ekipa i izvlačenje br.'!L3)=TRUE,COUNTIF('Prijava ekipa i izvlačenje br.'!$K3,"C")=1),'Prijava ekipa i izvlačenje br.'!L3,IF(AND(ISNUMBER('Prijava ekipa i izvlačenje br.'!O3)=TRUE,COUNTIF('Prijava ekipa i izvlačenje br.'!$N3,"C")=1),'Prijava ekipa i izvlačenje br.'!O3,IF(AND(ISNUMBER('Prijava ekipa i izvlačenje br.'!R3)=TRUE,COUNTIF('Prijava ekipa i izvlačenje br.'!$Q3,"C")=1),'Prijava ekipa i izvlačenje br.'!R3,""))))))</f>
      </c>
      <c r="D3" s="8">
        <f>IF(ISBLANK('Prijava ekipa i izvlačenje br.'!C3)=TRUE,"",'Prijava ekipa i izvlačenje br.'!C3)</f>
      </c>
      <c r="E3" s="8">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c>
      <c r="F3" s="422"/>
      <c r="G3" s="53">
        <f>VLOOKUP(D3,'Upis rezultata A sektora'!$D$2:$M$13,8,0)</f>
        <v>3</v>
      </c>
      <c r="H3" s="53">
        <f aca="true" t="shared" si="0" ref="H3:H13">B3</f>
      </c>
      <c r="I3" s="53">
        <f aca="true" t="shared" si="1" ref="I3:I13">C3</f>
      </c>
      <c r="J3" s="422"/>
      <c r="K3" s="460"/>
    </row>
    <row r="4" spans="1:11" ht="12.75">
      <c r="A4" s="49"/>
      <c r="B4" s="54">
        <f>IF(AND(ISTEXT('Prijava ekipa i izvlačenje br.'!C4)=TRUE,ISNUMBER(F4)=FALSE,COUNTIF('Prijava ekipa i izvlačenje br.'!E4:'Prijava ekipa i izvlačenje br.'!Q4,"C")=0),COUNTA(D$2:D$13)-COUNTIF(D$2:D$13,"")+1,IF(AND(ISNUMBER(F4)=TRUE,ISNUMBER(J4)=TRUE),((COUNT(F$2:F$13)+1-RANK(F4,$F$2:$F$13,0)-RANK(F4,$F$2:$F$13,1))/2)+RANK(F4,$F$2:$F$13,0)+1,IF(ISNUMBER(F4)=TRUE,((COUNT(F$2:F$13)+1-RANK(F4,$F$2:$F$13,0)-RANK(F4,$F$2:$F$13,1))/2)+RANK(F4,$F$2:$F$13,0),"")))</f>
      </c>
      <c r="C4" s="55">
        <f>IF(AND(ISNUMBER('Prijava ekipa i izvlačenje br.'!A4)=TRUE,COUNTIF(E4,"")=0),'Prijava ekipa i izvlačenje br.'!A4,IF(AND(ISNUMBER('Prijava ekipa i izvlačenje br.'!F4)=TRUE,COUNTIF('Prijava ekipa i izvlačenje br.'!$E4,"C")=1),'Prijava ekipa i izvlačenje br.'!F4,IF(AND(ISNUMBER('Prijava ekipa i izvlačenje br.'!I4)=TRUE,COUNTIF('Prijava ekipa i izvlačenje br.'!$H4,"C")=1),'Prijava ekipa i izvlačenje br.'!I4,IF(AND(ISNUMBER('Prijava ekipa i izvlačenje br.'!L4)=TRUE,COUNTIF('Prijava ekipa i izvlačenje br.'!$K4,"C")=1),'Prijava ekipa i izvlačenje br.'!L4,IF(AND(ISNUMBER('Prijava ekipa i izvlačenje br.'!O4)=TRUE,COUNTIF('Prijava ekipa i izvlačenje br.'!$N4,"C")=1),'Prijava ekipa i izvlačenje br.'!O4,IF(AND(ISNUMBER('Prijava ekipa i izvlačenje br.'!R4)=TRUE,COUNTIF('Prijava ekipa i izvlačenje br.'!$Q4,"C")=1),'Prijava ekipa i izvlačenje br.'!R4,""))))))</f>
      </c>
      <c r="D4" s="8">
        <f>IF(ISBLANK('Prijava ekipa i izvlačenje br.'!C4)=TRUE,"",'Prijava ekipa i izvlačenje br.'!C4)</f>
      </c>
      <c r="E4" s="8">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c>
      <c r="F4" s="422"/>
      <c r="G4" s="53">
        <f>VLOOKUP(D4,'Upis rezultata A sektora'!$D$2:$M$13,8,0)</f>
        <v>3</v>
      </c>
      <c r="H4" s="53">
        <f t="shared" si="0"/>
      </c>
      <c r="I4" s="53">
        <f t="shared" si="1"/>
      </c>
      <c r="J4" s="422"/>
      <c r="K4" s="460"/>
    </row>
    <row r="5" spans="1:11" ht="12.75">
      <c r="A5" s="49"/>
      <c r="B5" s="54">
        <f>IF(AND(ISTEXT('Prijava ekipa i izvlačenje br.'!C5)=TRUE,ISNUMBER(F5)=FALSE,COUNTIF('Prijava ekipa i izvlačenje br.'!E5:'Prijava ekipa i izvlačenje br.'!Q5,"C")=0),COUNTA(D$2:D$13)-COUNTIF(D$2:D$13,"")+1,IF(AND(ISNUMBER(F5)=TRUE,ISNUMBER(J5)=TRUE),((COUNT(F$2:F$13)+1-RANK(F5,$F$2:$F$13,0)-RANK(F5,$F$2:$F$13,1))/2)+RANK(F5,$F$2:$F$13,0)+1,IF(ISNUMBER(F5)=TRUE,((COUNT(F$2:F$13)+1-RANK(F5,$F$2:$F$13,0)-RANK(F5,$F$2:$F$13,1))/2)+RANK(F5,$F$2:$F$13,0),"")))</f>
      </c>
      <c r="C5" s="55">
        <f>IF(AND(ISNUMBER('Prijava ekipa i izvlačenje br.'!A5)=TRUE,COUNTIF(E5,"")=0),'Prijava ekipa i izvlačenje br.'!A5,IF(AND(ISNUMBER('Prijava ekipa i izvlačenje br.'!F5)=TRUE,COUNTIF('Prijava ekipa i izvlačenje br.'!$E5,"C")=1),'Prijava ekipa i izvlačenje br.'!F5,IF(AND(ISNUMBER('Prijava ekipa i izvlačenje br.'!I5)=TRUE,COUNTIF('Prijava ekipa i izvlačenje br.'!$H5,"C")=1),'Prijava ekipa i izvlačenje br.'!I5,IF(AND(ISNUMBER('Prijava ekipa i izvlačenje br.'!L5)=TRUE,COUNTIF('Prijava ekipa i izvlačenje br.'!$K5,"C")=1),'Prijava ekipa i izvlačenje br.'!L5,IF(AND(ISNUMBER('Prijava ekipa i izvlačenje br.'!O5)=TRUE,COUNTIF('Prijava ekipa i izvlačenje br.'!$N5,"C")=1),'Prijava ekipa i izvlačenje br.'!O5,IF(AND(ISNUMBER('Prijava ekipa i izvlačenje br.'!R5)=TRUE,COUNTIF('Prijava ekipa i izvlačenje br.'!$Q5,"C")=1),'Prijava ekipa i izvlačenje br.'!R5,""))))))</f>
      </c>
      <c r="D5" s="8">
        <f>IF(ISBLANK('Prijava ekipa i izvlačenje br.'!C5)=TRUE,"",'Prijava ekipa i izvlačenje br.'!C5)</f>
      </c>
      <c r="E5" s="8">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c>
      <c r="F5" s="422"/>
      <c r="G5" s="53">
        <f>VLOOKUP(D5,'Upis rezultata A sektora'!$D$2:$M$13,8,0)</f>
        <v>3</v>
      </c>
      <c r="H5" s="53">
        <f t="shared" si="0"/>
      </c>
      <c r="I5" s="53">
        <f t="shared" si="1"/>
      </c>
      <c r="J5" s="422"/>
      <c r="K5" s="460"/>
    </row>
    <row r="6" spans="1:11" ht="12.75">
      <c r="A6" s="49"/>
      <c r="B6" s="54">
        <f>IF(AND(ISTEXT('Prijava ekipa i izvlačenje br.'!C6)=TRUE,ISNUMBER(F6)=FALSE,COUNTIF('Prijava ekipa i izvlačenje br.'!E6:'Prijava ekipa i izvlačenje br.'!Q6,"C")=0),COUNTA(D$2:D$13)-COUNTIF(D$2:D$13,"")+1,IF(AND(ISNUMBER(F6)=TRUE,ISNUMBER(J6)=TRUE),((COUNT(F$2:F$13)+1-RANK(F6,$F$2:$F$13,0)-RANK(F6,$F$2:$F$13,1))/2)+RANK(F6,$F$2:$F$13,0)+1,IF(ISNUMBER(F6)=TRUE,((COUNT(F$2:F$13)+1-RANK(F6,$F$2:$F$13,0)-RANK(F6,$F$2:$F$13,1))/2)+RANK(F6,$F$2:$F$13,0),"")))</f>
      </c>
      <c r="C6" s="55">
        <f>IF(AND(ISNUMBER('Prijava ekipa i izvlačenje br.'!A6)=TRUE,COUNTIF(E6,"")=0),'Prijava ekipa i izvlačenje br.'!A6,IF(AND(ISNUMBER('Prijava ekipa i izvlačenje br.'!F6)=TRUE,COUNTIF('Prijava ekipa i izvlačenje br.'!$E6,"C")=1),'Prijava ekipa i izvlačenje br.'!F6,IF(AND(ISNUMBER('Prijava ekipa i izvlačenje br.'!I6)=TRUE,COUNTIF('Prijava ekipa i izvlačenje br.'!$H6,"C")=1),'Prijava ekipa i izvlačenje br.'!I6,IF(AND(ISNUMBER('Prijava ekipa i izvlačenje br.'!L6)=TRUE,COUNTIF('Prijava ekipa i izvlačenje br.'!$K6,"C")=1),'Prijava ekipa i izvlačenje br.'!L6,IF(AND(ISNUMBER('Prijava ekipa i izvlačenje br.'!O6)=TRUE,COUNTIF('Prijava ekipa i izvlačenje br.'!$N6,"C")=1),'Prijava ekipa i izvlačenje br.'!O6,IF(AND(ISNUMBER('Prijava ekipa i izvlačenje br.'!R6)=TRUE,COUNTIF('Prijava ekipa i izvlačenje br.'!$Q6,"C")=1),'Prijava ekipa i izvlačenje br.'!R6,""))))))</f>
      </c>
      <c r="D6" s="8">
        <f>IF(ISBLANK('Prijava ekipa i izvlačenje br.'!C6)=TRUE,"",'Prijava ekipa i izvlačenje br.'!C6)</f>
      </c>
      <c r="E6" s="8">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c>
      <c r="F6" s="422"/>
      <c r="G6" s="53">
        <f>VLOOKUP(D6,'Upis rezultata A sektora'!$D$2:$M$13,8,0)</f>
        <v>3</v>
      </c>
      <c r="H6" s="53">
        <f t="shared" si="0"/>
      </c>
      <c r="I6" s="53">
        <f t="shared" si="1"/>
      </c>
      <c r="J6" s="422"/>
      <c r="K6" s="460"/>
    </row>
    <row r="7" spans="1:11" ht="12.75">
      <c r="A7" s="49"/>
      <c r="B7" s="54">
        <f>IF(AND(ISTEXT('Prijava ekipa i izvlačenje br.'!C7)=TRUE,ISNUMBER(F7)=FALSE,COUNTIF('Prijava ekipa i izvlačenje br.'!E7:'Prijava ekipa i izvlačenje br.'!Q7,"C")=0),COUNTA(D$2:D$13)-COUNTIF(D$2:D$13,"")+1,IF(AND(ISNUMBER(F7)=TRUE,ISNUMBER(J7)=TRUE),((COUNT(F$2:F$13)+1-RANK(F7,$F$2:$F$13,0)-RANK(F7,$F$2:$F$13,1))/2)+RANK(F7,$F$2:$F$13,0)+1,IF(ISNUMBER(F7)=TRUE,((COUNT(F$2:F$13)+1-RANK(F7,$F$2:$F$13,0)-RANK(F7,$F$2:$F$13,1))/2)+RANK(F7,$F$2:$F$13,0),"")))</f>
      </c>
      <c r="C7" s="55">
        <f>IF(AND(ISNUMBER('Prijava ekipa i izvlačenje br.'!A7)=TRUE,COUNTIF(E7,"")=0),'Prijava ekipa i izvlačenje br.'!A7,IF(AND(ISNUMBER('Prijava ekipa i izvlačenje br.'!F7)=TRUE,COUNTIF('Prijava ekipa i izvlačenje br.'!$E7,"C")=1),'Prijava ekipa i izvlačenje br.'!F7,IF(AND(ISNUMBER('Prijava ekipa i izvlačenje br.'!I7)=TRUE,COUNTIF('Prijava ekipa i izvlačenje br.'!$H7,"C")=1),'Prijava ekipa i izvlačenje br.'!I7,IF(AND(ISNUMBER('Prijava ekipa i izvlačenje br.'!L7)=TRUE,COUNTIF('Prijava ekipa i izvlačenje br.'!$K7,"C")=1),'Prijava ekipa i izvlačenje br.'!L7,IF(AND(ISNUMBER('Prijava ekipa i izvlačenje br.'!O7)=TRUE,COUNTIF('Prijava ekipa i izvlačenje br.'!$N7,"C")=1),'Prijava ekipa i izvlačenje br.'!O7,IF(AND(ISNUMBER('Prijava ekipa i izvlačenje br.'!R7)=TRUE,COUNTIF('Prijava ekipa i izvlačenje br.'!$Q7,"C")=1),'Prijava ekipa i izvlačenje br.'!R7,""))))))</f>
      </c>
      <c r="D7" s="8">
        <f>IF(ISBLANK('Prijava ekipa i izvlačenje br.'!C7)=TRUE,"",'Prijava ekipa i izvlačenje br.'!C7)</f>
      </c>
      <c r="E7" s="8">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c>
      <c r="F7" s="422"/>
      <c r="G7" s="53">
        <f>VLOOKUP(D7,'Upis rezultata A sektora'!$D$2:$M$13,8,0)</f>
        <v>3</v>
      </c>
      <c r="H7" s="53">
        <f t="shared" si="0"/>
      </c>
      <c r="I7" s="53">
        <f t="shared" si="1"/>
      </c>
      <c r="J7" s="422"/>
      <c r="K7" s="460"/>
    </row>
    <row r="8" spans="1:11" ht="12.75">
      <c r="A8" s="49"/>
      <c r="B8" s="54">
        <f>IF(AND(ISTEXT('Prijava ekipa i izvlačenje br.'!C8)=TRUE,ISNUMBER(F8)=FALSE,COUNTIF('Prijava ekipa i izvlačenje br.'!E8:'Prijava ekipa i izvlačenje br.'!Q8,"C")=0),COUNTA(D$2:D$13)-COUNTIF(D$2:D$13,"")+1,IF(AND(ISNUMBER(F8)=TRUE,ISNUMBER(J8)=TRUE),((COUNT(F$2:F$13)+1-RANK(F8,$F$2:$F$13,0)-RANK(F8,$F$2:$F$13,1))/2)+RANK(F8,$F$2:$F$13,0)+1,IF(ISNUMBER(F8)=TRUE,((COUNT(F$2:F$13)+1-RANK(F8,$F$2:$F$13,0)-RANK(F8,$F$2:$F$13,1))/2)+RANK(F8,$F$2:$F$13,0),"")))</f>
      </c>
      <c r="C8" s="55">
        <f>IF(AND(ISNUMBER('Prijava ekipa i izvlačenje br.'!A8)=TRUE,COUNTIF(E8,"")=0),'Prijava ekipa i izvlačenje br.'!A8,IF(AND(ISNUMBER('Prijava ekipa i izvlačenje br.'!F8)=TRUE,COUNTIF('Prijava ekipa i izvlačenje br.'!$E8,"C")=1),'Prijava ekipa i izvlačenje br.'!F8,IF(AND(ISNUMBER('Prijava ekipa i izvlačenje br.'!I8)=TRUE,COUNTIF('Prijava ekipa i izvlačenje br.'!$H8,"C")=1),'Prijava ekipa i izvlačenje br.'!I8,IF(AND(ISNUMBER('Prijava ekipa i izvlačenje br.'!L8)=TRUE,COUNTIF('Prijava ekipa i izvlačenje br.'!$K8,"C")=1),'Prijava ekipa i izvlačenje br.'!L8,IF(AND(ISNUMBER('Prijava ekipa i izvlačenje br.'!O8)=TRUE,COUNTIF('Prijava ekipa i izvlačenje br.'!$N8,"C")=1),'Prijava ekipa i izvlačenje br.'!O8,IF(AND(ISNUMBER('Prijava ekipa i izvlačenje br.'!R8)=TRUE,COUNTIF('Prijava ekipa i izvlačenje br.'!$Q8,"C")=1),'Prijava ekipa i izvlačenje br.'!R8,""))))))</f>
      </c>
      <c r="D8" s="8">
        <f>IF(ISBLANK('Prijava ekipa i izvlačenje br.'!C8)=TRUE,"",'Prijava ekipa i izvlačenje br.'!C8)</f>
      </c>
      <c r="E8" s="8">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c>
      <c r="F8" s="422"/>
      <c r="G8" s="53">
        <f>VLOOKUP(D8,'Upis rezultata A sektora'!$D$2:$M$13,8,0)</f>
        <v>3</v>
      </c>
      <c r="H8" s="53">
        <f t="shared" si="0"/>
      </c>
      <c r="I8" s="53">
        <f t="shared" si="1"/>
      </c>
      <c r="J8" s="422"/>
      <c r="K8" s="460"/>
    </row>
    <row r="9" spans="1:11" ht="12.75">
      <c r="A9" s="49"/>
      <c r="B9" s="54">
        <f>IF(AND(ISTEXT('Prijava ekipa i izvlačenje br.'!C9)=TRUE,ISNUMBER(F9)=FALSE,COUNTIF('Prijava ekipa i izvlačenje br.'!E9:'Prijava ekipa i izvlačenje br.'!Q9,"C")=0),COUNTA(D$2:D$13)-COUNTIF(D$2:D$13,"")+1,IF(AND(ISNUMBER(F9)=TRUE,ISNUMBER(J9)=TRUE),((COUNT(F$2:F$13)+1-RANK(F9,$F$2:$F$13,0)-RANK(F9,$F$2:$F$13,1))/2)+RANK(F9,$F$2:$F$13,0)+1,IF(ISNUMBER(F9)=TRUE,((COUNT(F$2:F$13)+1-RANK(F9,$F$2:$F$13,0)-RANK(F9,$F$2:$F$13,1))/2)+RANK(F9,$F$2:$F$13,0),"")))</f>
      </c>
      <c r="C9" s="55">
        <f>IF(AND(ISNUMBER('Prijava ekipa i izvlačenje br.'!A9)=TRUE,COUNTIF(E9,"")=0),'Prijava ekipa i izvlačenje br.'!A9,IF(AND(ISNUMBER('Prijava ekipa i izvlačenje br.'!F9)=TRUE,COUNTIF('Prijava ekipa i izvlačenje br.'!$E9,"C")=1),'Prijava ekipa i izvlačenje br.'!F9,IF(AND(ISNUMBER('Prijava ekipa i izvlačenje br.'!I9)=TRUE,COUNTIF('Prijava ekipa i izvlačenje br.'!$H9,"C")=1),'Prijava ekipa i izvlačenje br.'!I9,IF(AND(ISNUMBER('Prijava ekipa i izvlačenje br.'!L9)=TRUE,COUNTIF('Prijava ekipa i izvlačenje br.'!$K9,"C")=1),'Prijava ekipa i izvlačenje br.'!L9,IF(AND(ISNUMBER('Prijava ekipa i izvlačenje br.'!O9)=TRUE,COUNTIF('Prijava ekipa i izvlačenje br.'!$N9,"C")=1),'Prijava ekipa i izvlačenje br.'!O9,IF(AND(ISNUMBER('Prijava ekipa i izvlačenje br.'!R9)=TRUE,COUNTIF('Prijava ekipa i izvlačenje br.'!$Q9,"C")=1),'Prijava ekipa i izvlačenje br.'!R9,""))))))</f>
      </c>
      <c r="D9" s="8">
        <f>IF(ISBLANK('Prijava ekipa i izvlačenje br.'!C9)=TRUE,"",'Prijava ekipa i izvlačenje br.'!C9)</f>
      </c>
      <c r="E9" s="8">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c>
      <c r="F9" s="422"/>
      <c r="G9" s="53">
        <f>VLOOKUP(D9,'Upis rezultata A sektora'!$D$2:$M$13,8,0)</f>
        <v>3</v>
      </c>
      <c r="H9" s="53">
        <f t="shared" si="0"/>
      </c>
      <c r="I9" s="53">
        <f t="shared" si="1"/>
      </c>
      <c r="J9" s="422"/>
      <c r="K9" s="460"/>
    </row>
    <row r="10" spans="1:11" ht="12.75">
      <c r="A10" s="49"/>
      <c r="B10" s="54">
        <f>IF(AND(ISTEXT('Prijava ekipa i izvlačenje br.'!C10)=TRUE,ISNUMBER(F10)=FALSE,COUNTIF('Prijava ekipa i izvlačenje br.'!E10:'Prijava ekipa i izvlačenje br.'!Q10,"C")=0),COUNTA(D$2:D$13)-COUNTIF(D$2:D$13,"")+1,IF(AND(ISNUMBER(F10)=TRUE,ISNUMBER(J10)=TRUE),((COUNT(F$2:F$13)+1-RANK(F10,$F$2:$F$13,0)-RANK(F10,$F$2:$F$13,1))/2)+RANK(F10,$F$2:$F$13,0)+1,IF(ISNUMBER(F10)=TRUE,((COUNT(F$2:F$13)+1-RANK(F10,$F$2:$F$13,0)-RANK(F10,$F$2:$F$13,1))/2)+RANK(F10,$F$2:$F$13,0),"")))</f>
      </c>
      <c r="C10" s="55">
        <f>IF(AND(ISNUMBER('Prijava ekipa i izvlačenje br.'!A10)=TRUE,COUNTIF(E10,"")=0),'Prijava ekipa i izvlačenje br.'!A10,IF(AND(ISNUMBER('Prijava ekipa i izvlačenje br.'!F10)=TRUE,COUNTIF('Prijava ekipa i izvlačenje br.'!$E10,"C")=1),'Prijava ekipa i izvlačenje br.'!F10,IF(AND(ISNUMBER('Prijava ekipa i izvlačenje br.'!I10)=TRUE,COUNTIF('Prijava ekipa i izvlačenje br.'!$H10,"C")=1),'Prijava ekipa i izvlačenje br.'!I10,IF(AND(ISNUMBER('Prijava ekipa i izvlačenje br.'!L10)=TRUE,COUNTIF('Prijava ekipa i izvlačenje br.'!$K10,"C")=1),'Prijava ekipa i izvlačenje br.'!L10,IF(AND(ISNUMBER('Prijava ekipa i izvlačenje br.'!O10)=TRUE,COUNTIF('Prijava ekipa i izvlačenje br.'!$N10,"C")=1),'Prijava ekipa i izvlačenje br.'!O10,IF(AND(ISNUMBER('Prijava ekipa i izvlačenje br.'!R10)=TRUE,COUNTIF('Prijava ekipa i izvlačenje br.'!$Q10,"C")=1),'Prijava ekipa i izvlačenje br.'!R10,""))))))</f>
      </c>
      <c r="D10" s="8">
        <f>IF(ISBLANK('Prijava ekipa i izvlačenje br.'!C10)=TRUE,"",'Prijava ekipa i izvlačenje br.'!C10)</f>
      </c>
      <c r="E10" s="8">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c>
      <c r="F10" s="422"/>
      <c r="G10" s="53">
        <f>VLOOKUP(D10,'Upis rezultata A sektora'!$D$2:$M$13,8,0)</f>
        <v>3</v>
      </c>
      <c r="H10" s="53">
        <f t="shared" si="0"/>
      </c>
      <c r="I10" s="53">
        <f t="shared" si="1"/>
      </c>
      <c r="J10" s="422"/>
      <c r="K10" s="460"/>
    </row>
    <row r="11" spans="1:11" ht="12.75">
      <c r="A11" s="49"/>
      <c r="B11" s="54">
        <f>IF(AND(ISTEXT('Prijava ekipa i izvlačenje br.'!C11)=TRUE,ISNUMBER(F11)=FALSE,COUNTIF('Prijava ekipa i izvlačenje br.'!E11:'Prijava ekipa i izvlačenje br.'!Q11,"C")=0),COUNTA(D$2:D$13)-COUNTIF(D$2:D$13,"")+1,IF(AND(ISNUMBER(F11)=TRUE,ISNUMBER(J11)=TRUE),((COUNT(F$2:F$13)+1-RANK(F11,$F$2:$F$13,0)-RANK(F11,$F$2:$F$13,1))/2)+RANK(F11,$F$2:$F$13,0)+1,IF(ISNUMBER(F11)=TRUE,((COUNT(F$2:F$13)+1-RANK(F11,$F$2:$F$13,0)-RANK(F11,$F$2:$F$13,1))/2)+RANK(F11,$F$2:$F$13,0),"")))</f>
      </c>
      <c r="C11" s="55">
        <f>IF(AND(ISNUMBER('Prijava ekipa i izvlačenje br.'!A11)=TRUE,COUNTIF(E11,"")=0),'Prijava ekipa i izvlačenje br.'!A11,IF(AND(ISNUMBER('Prijava ekipa i izvlačenje br.'!F11)=TRUE,COUNTIF('Prijava ekipa i izvlačenje br.'!$E11,"C")=1),'Prijava ekipa i izvlačenje br.'!F11,IF(AND(ISNUMBER('Prijava ekipa i izvlačenje br.'!I11)=TRUE,COUNTIF('Prijava ekipa i izvlačenje br.'!$H11,"C")=1),'Prijava ekipa i izvlačenje br.'!I11,IF(AND(ISNUMBER('Prijava ekipa i izvlačenje br.'!L11)=TRUE,COUNTIF('Prijava ekipa i izvlačenje br.'!$K11,"C")=1),'Prijava ekipa i izvlačenje br.'!L11,IF(AND(ISNUMBER('Prijava ekipa i izvlačenje br.'!O11)=TRUE,COUNTIF('Prijava ekipa i izvlačenje br.'!$N11,"C")=1),'Prijava ekipa i izvlačenje br.'!O11,IF(AND(ISNUMBER('Prijava ekipa i izvlačenje br.'!R11)=TRUE,COUNTIF('Prijava ekipa i izvlačenje br.'!$Q11,"C")=1),'Prijava ekipa i izvlačenje br.'!R11,""))))))</f>
      </c>
      <c r="D11" s="8">
        <f>IF(ISBLANK('Prijava ekipa i izvlačenje br.'!C11)=TRUE,"",'Prijava ekipa i izvlačenje br.'!C11)</f>
      </c>
      <c r="E11" s="8">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c>
      <c r="F11" s="422"/>
      <c r="G11" s="53">
        <f>VLOOKUP(D11,'Upis rezultata A sektora'!$D$2:$M$13,8,0)</f>
        <v>3</v>
      </c>
      <c r="H11" s="53">
        <f t="shared" si="0"/>
      </c>
      <c r="I11" s="53">
        <f t="shared" si="1"/>
      </c>
      <c r="J11" s="422"/>
      <c r="K11" s="460"/>
    </row>
    <row r="12" spans="1:11" ht="12.75">
      <c r="A12" s="49"/>
      <c r="B12" s="54">
        <f>IF(AND(ISTEXT('Prijava ekipa i izvlačenje br.'!C12)=TRUE,ISNUMBER(F12)=FALSE,COUNTIF('Prijava ekipa i izvlačenje br.'!E12:'Prijava ekipa i izvlačenje br.'!Q12,"C")=0),COUNTA(D$2:D$13)-COUNTIF(D$2:D$13,"")+1,IF(AND(ISNUMBER(F12)=TRUE,ISNUMBER(J12)=TRUE),((COUNT(F$2:F$13)+1-RANK(F12,$F$2:$F$13,0)-RANK(F12,$F$2:$F$13,1))/2)+RANK(F12,$F$2:$F$13,0)+1,IF(ISNUMBER(F12)=TRUE,((COUNT(F$2:F$13)+1-RANK(F12,$F$2:$F$13,0)-RANK(F12,$F$2:$F$13,1))/2)+RANK(F12,$F$2:$F$13,0),"")))</f>
      </c>
      <c r="C12" s="55">
        <f>IF(AND(ISNUMBER('Prijava ekipa i izvlačenje br.'!A12)=TRUE,COUNTIF(E12,"")=0),'Prijava ekipa i izvlačenje br.'!A12,IF(AND(ISNUMBER('Prijava ekipa i izvlačenje br.'!F12)=TRUE,COUNTIF('Prijava ekipa i izvlačenje br.'!$E12,"C")=1),'Prijava ekipa i izvlačenje br.'!F12,IF(AND(ISNUMBER('Prijava ekipa i izvlačenje br.'!I12)=TRUE,COUNTIF('Prijava ekipa i izvlačenje br.'!$H12,"C")=1),'Prijava ekipa i izvlačenje br.'!I12,IF(AND(ISNUMBER('Prijava ekipa i izvlačenje br.'!L12)=TRUE,COUNTIF('Prijava ekipa i izvlačenje br.'!$K12,"C")=1),'Prijava ekipa i izvlačenje br.'!L12,IF(AND(ISNUMBER('Prijava ekipa i izvlačenje br.'!O12)=TRUE,COUNTIF('Prijava ekipa i izvlačenje br.'!$N12,"C")=1),'Prijava ekipa i izvlačenje br.'!O12,IF(AND(ISNUMBER('Prijava ekipa i izvlačenje br.'!R12)=TRUE,COUNTIF('Prijava ekipa i izvlačenje br.'!$Q12,"C")=1),'Prijava ekipa i izvlačenje br.'!R12,""))))))</f>
      </c>
      <c r="D12" s="8">
        <f>IF(ISBLANK('Prijava ekipa i izvlačenje br.'!C12)=TRUE,"",'Prijava ekipa i izvlačenje br.'!C12)</f>
      </c>
      <c r="E12" s="8">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c>
      <c r="F12" s="422"/>
      <c r="G12" s="53">
        <f>VLOOKUP(D12,'Upis rezultata A sektora'!$D$2:$M$13,8,0)</f>
        <v>3</v>
      </c>
      <c r="H12" s="53">
        <f t="shared" si="0"/>
      </c>
      <c r="I12" s="53">
        <f t="shared" si="1"/>
      </c>
      <c r="J12" s="422"/>
      <c r="K12" s="460"/>
    </row>
    <row r="13" spans="1:11" ht="13.5" thickBot="1">
      <c r="A13" s="431"/>
      <c r="B13" s="425">
        <f>IF(AND(ISTEXT('Prijava ekipa i izvlačenje br.'!C13)=TRUE,ISNUMBER(F13)=FALSE,COUNTIF('Prijava ekipa i izvlačenje br.'!E13:'Prijava ekipa i izvlačenje br.'!Q13,"C")=0),COUNTA(D$2:D$13)-COUNTIF(D$2:D$13,"")+1,IF(AND(ISNUMBER(F13)=TRUE,ISNUMBER(J13)=TRUE),((COUNT(F$2:F$13)+1-RANK(F13,$F$2:$F$13,0)-RANK(F13,$F$2:$F$13,1))/2)+RANK(F13,$F$2:$F$13,0)+1,IF(ISNUMBER(F13)=TRUE,((COUNT(F$2:F$13)+1-RANK(F13,$F$2:$F$13,0)-RANK(F13,$F$2:$F$13,1))/2)+RANK(F13,$F$2:$F$13,0),"")))</f>
      </c>
      <c r="C13" s="426">
        <f>IF(AND(ISNUMBER('Prijava ekipa i izvlačenje br.'!A13)=TRUE,COUNTIF(E13,"")=0),'Prijava ekipa i izvlačenje br.'!A13,IF(AND(ISNUMBER('Prijava ekipa i izvlačenje br.'!F13)=TRUE,COUNTIF('Prijava ekipa i izvlačenje br.'!$E13,"C")=1),'Prijava ekipa i izvlačenje br.'!F13,IF(AND(ISNUMBER('Prijava ekipa i izvlačenje br.'!I13)=TRUE,COUNTIF('Prijava ekipa i izvlačenje br.'!$H13,"C")=1),'Prijava ekipa i izvlačenje br.'!I13,IF(AND(ISNUMBER('Prijava ekipa i izvlačenje br.'!L13)=TRUE,COUNTIF('Prijava ekipa i izvlačenje br.'!$K13,"C")=1),'Prijava ekipa i izvlačenje br.'!L13,IF(AND(ISNUMBER('Prijava ekipa i izvlačenje br.'!O13)=TRUE,COUNTIF('Prijava ekipa i izvlačenje br.'!$N13,"C")=1),'Prijava ekipa i izvlačenje br.'!O13,IF(AND(ISNUMBER('Prijava ekipa i izvlačenje br.'!R13)=TRUE,COUNTIF('Prijava ekipa i izvlačenje br.'!$Q13,"C")=1),'Prijava ekipa i izvlačenje br.'!R13,""))))))</f>
      </c>
      <c r="D13" s="433">
        <f>IF(ISBLANK('Prijava ekipa i izvlačenje br.'!C13)=TRUE,"",'Prijava ekipa i izvlačenje br.'!C13)</f>
      </c>
      <c r="E13" s="433">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c>
      <c r="F13" s="428"/>
      <c r="G13" s="434">
        <f>VLOOKUP(D13,'Upis rezultata A sektora'!$D$2:$M$13,8,0)</f>
        <v>3</v>
      </c>
      <c r="H13" s="434">
        <f t="shared" si="0"/>
      </c>
      <c r="I13" s="434">
        <f t="shared" si="1"/>
      </c>
      <c r="J13" s="428"/>
      <c r="K13" s="460"/>
    </row>
  </sheetData>
  <sheetProtection password="C7E2" sheet="1" objects="1" scenarios="1"/>
  <printOptions/>
  <pageMargins left="0.75" right="0.75" top="1" bottom="1" header="0.5" footer="0.5"/>
  <pageSetup horizontalDpi="300" verticalDpi="300" orientation="portrait" paperSize="9" r:id="rId3"/>
  <headerFooter alignWithMargins="0">
    <oddFooter>&amp;C&amp;"Arial,Kurziv"&amp;8&amp;YProgram za izračun rezultata i provođenje natjecanja</oddFooter>
  </headerFooter>
  <legacyDrawing r:id="rId2"/>
</worksheet>
</file>

<file path=xl/worksheets/sheet13.xml><?xml version="1.0" encoding="utf-8"?>
<worksheet xmlns="http://schemas.openxmlformats.org/spreadsheetml/2006/main" xmlns:r="http://schemas.openxmlformats.org/officeDocument/2006/relationships">
  <sheetPr codeName="Sheet16">
    <tabColor indexed="10"/>
  </sheetPr>
  <dimension ref="A1:M13"/>
  <sheetViews>
    <sheetView showRowColHeaders="0" zoomScalePageLayoutView="0" workbookViewId="0" topLeftCell="A1">
      <selection activeCell="F2" sqref="F2"/>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28125" style="444" customWidth="1"/>
    <col min="7" max="9" width="0" style="459" hidden="1" customWidth="1"/>
    <col min="10" max="16384" width="9.140625" style="444" customWidth="1"/>
  </cols>
  <sheetData>
    <row r="1" spans="1:13" ht="255">
      <c r="A1" s="196"/>
      <c r="B1" s="146" t="s">
        <v>72</v>
      </c>
      <c r="C1" s="146" t="s">
        <v>22</v>
      </c>
      <c r="D1" s="140" t="s">
        <v>20</v>
      </c>
      <c r="E1" s="140" t="s">
        <v>73</v>
      </c>
      <c r="F1" s="195" t="s">
        <v>74</v>
      </c>
      <c r="G1" s="419" t="s">
        <v>22</v>
      </c>
      <c r="H1" s="419" t="str">
        <f>B1</f>
        <v>Sektorski plasman</v>
      </c>
      <c r="I1" s="419" t="s">
        <v>136</v>
      </c>
      <c r="J1" s="145" t="s">
        <v>145</v>
      </c>
      <c r="K1" s="456"/>
      <c r="L1" s="449"/>
      <c r="M1" s="449"/>
    </row>
    <row r="2" spans="1:11" ht="12.75">
      <c r="A2" s="49"/>
      <c r="B2" s="54">
        <f>IF(AND(ISTEXT('Prijava ekipa i izvlačenje br.'!C2)=TRUE,ISNUMBER(F2)=FALSE,COUNTIF('Prijava ekipa i izvlačenje br.'!E2:'Prijava ekipa i izvlačenje br.'!Q2,"D")=0),COUNTA(D$2:D$13)-COUNTIF(D$2:D$13,"")+1,IF(AND(ISNUMBER(F2)=TRUE,ISNUMBER(J2)=TRUE),((COUNT(F$2:F$13)+1-RANK(F2,$F$2:$F$13,0)-RANK(F2,$F$2:$F$13,1))/2)+RANK(F2,$F$2:$F$13,0)+1,IF(ISNUMBER(F2)=TRUE,((COUNT(F$2:F$13)+1-RANK(F2,$F$2:$F$13,0)-RANK(F2,$F$2:$F$13,1))/2)+RANK(F2,$F$2:$F$13,0),"")))</f>
      </c>
      <c r="C2" s="55">
        <f>IF(AND(ISNUMBER('Prijava ekipa i izvlačenje br.'!A2)=TRUE,COUNTIF(E2,"")=0),'Prijava ekipa i izvlačenje br.'!A2,IF(AND(ISNUMBER('Prijava ekipa i izvlačenje br.'!F2)=TRUE,COUNTIF('Prijava ekipa i izvlačenje br.'!$E2,"D")=1),'Prijava ekipa i izvlačenje br.'!F2,IF(AND(ISNUMBER('Prijava ekipa i izvlačenje br.'!I2)=TRUE,COUNTIF('Prijava ekipa i izvlačenje br.'!$H2,"D")=1),'Prijava ekipa i izvlačenje br.'!I2,IF(AND(ISNUMBER('Prijava ekipa i izvlačenje br.'!L2)=TRUE,COUNTIF('Prijava ekipa i izvlačenje br.'!$K2,"D")=1),'Prijava ekipa i izvlačenje br.'!L2,IF(AND(ISNUMBER('Prijava ekipa i izvlačenje br.'!O2)=TRUE,COUNTIF('Prijava ekipa i izvlačenje br.'!$N2,"D")=1),'Prijava ekipa i izvlačenje br.'!O2,IF(AND(ISNUMBER('Prijava ekipa i izvlačenje br.'!R2)=TRUE,COUNTIF('Prijava ekipa i izvlačenje br.'!$Q2,"D")=1),'Prijava ekipa i izvlačenje br.'!R2,""))))))</f>
      </c>
      <c r="D2" s="8">
        <f>IF(ISBLANK('Prijava ekipa i izvlačenje br.'!C2)=TRUE,"",'Prijava ekipa i izvlačenje br.'!C2)</f>
      </c>
      <c r="E2" s="8">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c>
      <c r="F2" s="422"/>
      <c r="G2" s="53">
        <f>VLOOKUP(D2,'Upis rezultata A sektora'!$D$2:$M$13,9,0)</f>
        <v>4</v>
      </c>
      <c r="H2" s="53">
        <f>B2</f>
      </c>
      <c r="I2" s="53">
        <f>C2</f>
      </c>
      <c r="J2" s="422"/>
      <c r="K2" s="460"/>
    </row>
    <row r="3" spans="1:11" ht="12.75">
      <c r="A3" s="49"/>
      <c r="B3" s="54">
        <f>IF(AND(ISTEXT('Prijava ekipa i izvlačenje br.'!C3)=TRUE,ISNUMBER(F3)=FALSE,COUNTIF('Prijava ekipa i izvlačenje br.'!E3:'Prijava ekipa i izvlačenje br.'!Q3,"D")=0),COUNTA(D$2:D$13)-COUNTIF(D$2:D$13,"")+1,IF(AND(ISNUMBER(F3)=TRUE,ISNUMBER(J3)=TRUE),((COUNT(F$2:F$13)+1-RANK(F3,$F$2:$F$13,0)-RANK(F3,$F$2:$F$13,1))/2)+RANK(F3,$F$2:$F$13,0)+1,IF(ISNUMBER(F3)=TRUE,((COUNT(F$2:F$13)+1-RANK(F3,$F$2:$F$13,0)-RANK(F3,$F$2:$F$13,1))/2)+RANK(F3,$F$2:$F$13,0),"")))</f>
      </c>
      <c r="C3" s="55">
        <f>IF(AND(ISNUMBER('Prijava ekipa i izvlačenje br.'!A3)=TRUE,COUNTIF(E3,"")=0),'Prijava ekipa i izvlačenje br.'!A3,IF(AND(ISNUMBER('Prijava ekipa i izvlačenje br.'!F3)=TRUE,COUNTIF('Prijava ekipa i izvlačenje br.'!$E3,"D")=1),'Prijava ekipa i izvlačenje br.'!F3,IF(AND(ISNUMBER('Prijava ekipa i izvlačenje br.'!I3)=TRUE,COUNTIF('Prijava ekipa i izvlačenje br.'!$H3,"D")=1),'Prijava ekipa i izvlačenje br.'!I3,IF(AND(ISNUMBER('Prijava ekipa i izvlačenje br.'!L3)=TRUE,COUNTIF('Prijava ekipa i izvlačenje br.'!$K3,"D")=1),'Prijava ekipa i izvlačenje br.'!L3,IF(AND(ISNUMBER('Prijava ekipa i izvlačenje br.'!O3)=TRUE,COUNTIF('Prijava ekipa i izvlačenje br.'!$N3,"D")=1),'Prijava ekipa i izvlačenje br.'!O3,IF(AND(ISNUMBER('Prijava ekipa i izvlačenje br.'!R3)=TRUE,COUNTIF('Prijava ekipa i izvlačenje br.'!$Q3,"D")=1),'Prijava ekipa i izvlačenje br.'!R3,""))))))</f>
      </c>
      <c r="D3" s="8">
        <f>IF(ISBLANK('Prijava ekipa i izvlačenje br.'!C3)=TRUE,"",'Prijava ekipa i izvlačenje br.'!C3)</f>
      </c>
      <c r="E3" s="8">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c>
      <c r="F3" s="422"/>
      <c r="G3" s="53">
        <f>VLOOKUP(D3,'Upis rezultata A sektora'!$D$2:$M$13,9,0)</f>
        <v>4</v>
      </c>
      <c r="H3" s="53">
        <f aca="true" t="shared" si="0" ref="H3:H13">B3</f>
      </c>
      <c r="I3" s="53">
        <f aca="true" t="shared" si="1" ref="I3:I13">C3</f>
      </c>
      <c r="J3" s="422"/>
      <c r="K3" s="460"/>
    </row>
    <row r="4" spans="1:11" ht="12.75">
      <c r="A4" s="49"/>
      <c r="B4" s="54">
        <f>IF(AND(ISTEXT('Prijava ekipa i izvlačenje br.'!C4)=TRUE,ISNUMBER(F4)=FALSE,COUNTIF('Prijava ekipa i izvlačenje br.'!E4:'Prijava ekipa i izvlačenje br.'!Q4,"D")=0),COUNTA(D$2:D$13)-COUNTIF(D$2:D$13,"")+1,IF(AND(ISNUMBER(F4)=TRUE,ISNUMBER(J4)=TRUE),((COUNT(F$2:F$13)+1-RANK(F4,$F$2:$F$13,0)-RANK(F4,$F$2:$F$13,1))/2)+RANK(F4,$F$2:$F$13,0)+1,IF(ISNUMBER(F4)=TRUE,((COUNT(F$2:F$13)+1-RANK(F4,$F$2:$F$13,0)-RANK(F4,$F$2:$F$13,1))/2)+RANK(F4,$F$2:$F$13,0),"")))</f>
      </c>
      <c r="C4" s="55">
        <f>IF(AND(ISNUMBER('Prijava ekipa i izvlačenje br.'!A4)=TRUE,COUNTIF(E4,"")=0),'Prijava ekipa i izvlačenje br.'!A4,IF(AND(ISNUMBER('Prijava ekipa i izvlačenje br.'!F4)=TRUE,COUNTIF('Prijava ekipa i izvlačenje br.'!$E4,"D")=1),'Prijava ekipa i izvlačenje br.'!F4,IF(AND(ISNUMBER('Prijava ekipa i izvlačenje br.'!I4)=TRUE,COUNTIF('Prijava ekipa i izvlačenje br.'!$H4,"D")=1),'Prijava ekipa i izvlačenje br.'!I4,IF(AND(ISNUMBER('Prijava ekipa i izvlačenje br.'!L4)=TRUE,COUNTIF('Prijava ekipa i izvlačenje br.'!$K4,"D")=1),'Prijava ekipa i izvlačenje br.'!L4,IF(AND(ISNUMBER('Prijava ekipa i izvlačenje br.'!O4)=TRUE,COUNTIF('Prijava ekipa i izvlačenje br.'!$N4,"D")=1),'Prijava ekipa i izvlačenje br.'!O4,IF(AND(ISNUMBER('Prijava ekipa i izvlačenje br.'!R4)=TRUE,COUNTIF('Prijava ekipa i izvlačenje br.'!$Q4,"D")=1),'Prijava ekipa i izvlačenje br.'!R4,""))))))</f>
      </c>
      <c r="D4" s="8">
        <f>IF(ISBLANK('Prijava ekipa i izvlačenje br.'!C4)=TRUE,"",'Prijava ekipa i izvlačenje br.'!C4)</f>
      </c>
      <c r="E4" s="8">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c>
      <c r="F4" s="422"/>
      <c r="G4" s="53">
        <f>VLOOKUP(D4,'Upis rezultata A sektora'!$D$2:$M$13,9,0)</f>
        <v>4</v>
      </c>
      <c r="H4" s="53">
        <f t="shared" si="0"/>
      </c>
      <c r="I4" s="53">
        <f t="shared" si="1"/>
      </c>
      <c r="J4" s="422"/>
      <c r="K4" s="460"/>
    </row>
    <row r="5" spans="1:11" ht="12.75">
      <c r="A5" s="49"/>
      <c r="B5" s="54">
        <f>IF(AND(ISTEXT('Prijava ekipa i izvlačenje br.'!C5)=TRUE,ISNUMBER(F5)=FALSE,COUNTIF('Prijava ekipa i izvlačenje br.'!E5:'Prijava ekipa i izvlačenje br.'!Q5,"D")=0),COUNTA(D$2:D$13)-COUNTIF(D$2:D$13,"")+1,IF(AND(ISNUMBER(F5)=TRUE,ISNUMBER(J5)=TRUE),((COUNT(F$2:F$13)+1-RANK(F5,$F$2:$F$13,0)-RANK(F5,$F$2:$F$13,1))/2)+RANK(F5,$F$2:$F$13,0)+1,IF(ISNUMBER(F5)=TRUE,((COUNT(F$2:F$13)+1-RANK(F5,$F$2:$F$13,0)-RANK(F5,$F$2:$F$13,1))/2)+RANK(F5,$F$2:$F$13,0),"")))</f>
      </c>
      <c r="C5" s="55">
        <f>IF(AND(ISNUMBER('Prijava ekipa i izvlačenje br.'!A5)=TRUE,COUNTIF(E5,"")=0),'Prijava ekipa i izvlačenje br.'!A5,IF(AND(ISNUMBER('Prijava ekipa i izvlačenje br.'!F5)=TRUE,COUNTIF('Prijava ekipa i izvlačenje br.'!$E5,"D")=1),'Prijava ekipa i izvlačenje br.'!F5,IF(AND(ISNUMBER('Prijava ekipa i izvlačenje br.'!I5)=TRUE,COUNTIF('Prijava ekipa i izvlačenje br.'!$H5,"D")=1),'Prijava ekipa i izvlačenje br.'!I5,IF(AND(ISNUMBER('Prijava ekipa i izvlačenje br.'!L5)=TRUE,COUNTIF('Prijava ekipa i izvlačenje br.'!$K5,"D")=1),'Prijava ekipa i izvlačenje br.'!L5,IF(AND(ISNUMBER('Prijava ekipa i izvlačenje br.'!O5)=TRUE,COUNTIF('Prijava ekipa i izvlačenje br.'!$N5,"D")=1),'Prijava ekipa i izvlačenje br.'!O5,IF(AND(ISNUMBER('Prijava ekipa i izvlačenje br.'!R5)=TRUE,COUNTIF('Prijava ekipa i izvlačenje br.'!$Q5,"D")=1),'Prijava ekipa i izvlačenje br.'!R5,""))))))</f>
      </c>
      <c r="D5" s="8">
        <f>IF(ISBLANK('Prijava ekipa i izvlačenje br.'!C5)=TRUE,"",'Prijava ekipa i izvlačenje br.'!C5)</f>
      </c>
      <c r="E5" s="8">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c>
      <c r="F5" s="422"/>
      <c r="G5" s="53">
        <f>VLOOKUP(D5,'Upis rezultata A sektora'!$D$2:$M$13,9,0)</f>
        <v>4</v>
      </c>
      <c r="H5" s="53">
        <f t="shared" si="0"/>
      </c>
      <c r="I5" s="53">
        <f t="shared" si="1"/>
      </c>
      <c r="J5" s="422"/>
      <c r="K5" s="460"/>
    </row>
    <row r="6" spans="1:11" ht="12.75">
      <c r="A6" s="49"/>
      <c r="B6" s="54">
        <f>IF(AND(ISTEXT('Prijava ekipa i izvlačenje br.'!C6)=TRUE,ISNUMBER(F6)=FALSE,COUNTIF('Prijava ekipa i izvlačenje br.'!E6:'Prijava ekipa i izvlačenje br.'!Q6,"D")=0),COUNTA(D$2:D$13)-COUNTIF(D$2:D$13,"")+1,IF(AND(ISNUMBER(F6)=TRUE,ISNUMBER(J6)=TRUE),((COUNT(F$2:F$13)+1-RANK(F6,$F$2:$F$13,0)-RANK(F6,$F$2:$F$13,1))/2)+RANK(F6,$F$2:$F$13,0)+1,IF(ISNUMBER(F6)=TRUE,((COUNT(F$2:F$13)+1-RANK(F6,$F$2:$F$13,0)-RANK(F6,$F$2:$F$13,1))/2)+RANK(F6,$F$2:$F$13,0),"")))</f>
      </c>
      <c r="C6" s="55">
        <f>IF(AND(ISNUMBER('Prijava ekipa i izvlačenje br.'!A6)=TRUE,COUNTIF(E6,"")=0),'Prijava ekipa i izvlačenje br.'!A6,IF(AND(ISNUMBER('Prijava ekipa i izvlačenje br.'!F6)=TRUE,COUNTIF('Prijava ekipa i izvlačenje br.'!$E6,"D")=1),'Prijava ekipa i izvlačenje br.'!F6,IF(AND(ISNUMBER('Prijava ekipa i izvlačenje br.'!I6)=TRUE,COUNTIF('Prijava ekipa i izvlačenje br.'!$H6,"D")=1),'Prijava ekipa i izvlačenje br.'!I6,IF(AND(ISNUMBER('Prijava ekipa i izvlačenje br.'!L6)=TRUE,COUNTIF('Prijava ekipa i izvlačenje br.'!$K6,"D")=1),'Prijava ekipa i izvlačenje br.'!L6,IF(AND(ISNUMBER('Prijava ekipa i izvlačenje br.'!O6)=TRUE,COUNTIF('Prijava ekipa i izvlačenje br.'!$N6,"D")=1),'Prijava ekipa i izvlačenje br.'!O6,IF(AND(ISNUMBER('Prijava ekipa i izvlačenje br.'!R6)=TRUE,COUNTIF('Prijava ekipa i izvlačenje br.'!$Q6,"D")=1),'Prijava ekipa i izvlačenje br.'!R6,""))))))</f>
      </c>
      <c r="D6" s="8">
        <f>IF(ISBLANK('Prijava ekipa i izvlačenje br.'!C6)=TRUE,"",'Prijava ekipa i izvlačenje br.'!C6)</f>
      </c>
      <c r="E6" s="8">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c>
      <c r="F6" s="422"/>
      <c r="G6" s="53">
        <f>VLOOKUP(D6,'Upis rezultata A sektora'!$D$2:$M$13,9,0)</f>
        <v>4</v>
      </c>
      <c r="H6" s="53">
        <f t="shared" si="0"/>
      </c>
      <c r="I6" s="53">
        <f t="shared" si="1"/>
      </c>
      <c r="J6" s="422"/>
      <c r="K6" s="460"/>
    </row>
    <row r="7" spans="1:11" ht="12.75">
      <c r="A7" s="49"/>
      <c r="B7" s="54">
        <f>IF(AND(ISTEXT('Prijava ekipa i izvlačenje br.'!C7)=TRUE,ISNUMBER(F7)=FALSE,COUNTIF('Prijava ekipa i izvlačenje br.'!E7:'Prijava ekipa i izvlačenje br.'!Q7,"D")=0),COUNTA(D$2:D$13)-COUNTIF(D$2:D$13,"")+1,IF(AND(ISNUMBER(F7)=TRUE,ISNUMBER(J7)=TRUE),((COUNT(F$2:F$13)+1-RANK(F7,$F$2:$F$13,0)-RANK(F7,$F$2:$F$13,1))/2)+RANK(F7,$F$2:$F$13,0)+1,IF(ISNUMBER(F7)=TRUE,((COUNT(F$2:F$13)+1-RANK(F7,$F$2:$F$13,0)-RANK(F7,$F$2:$F$13,1))/2)+RANK(F7,$F$2:$F$13,0),"")))</f>
      </c>
      <c r="C7" s="55">
        <f>IF(AND(ISNUMBER('Prijava ekipa i izvlačenje br.'!A7)=TRUE,COUNTIF(E7,"")=0),'Prijava ekipa i izvlačenje br.'!A7,IF(AND(ISNUMBER('Prijava ekipa i izvlačenje br.'!F7)=TRUE,COUNTIF('Prijava ekipa i izvlačenje br.'!$E7,"D")=1),'Prijava ekipa i izvlačenje br.'!F7,IF(AND(ISNUMBER('Prijava ekipa i izvlačenje br.'!I7)=TRUE,COUNTIF('Prijava ekipa i izvlačenje br.'!$H7,"D")=1),'Prijava ekipa i izvlačenje br.'!I7,IF(AND(ISNUMBER('Prijava ekipa i izvlačenje br.'!L7)=TRUE,COUNTIF('Prijava ekipa i izvlačenje br.'!$K7,"D")=1),'Prijava ekipa i izvlačenje br.'!L7,IF(AND(ISNUMBER('Prijava ekipa i izvlačenje br.'!O7)=TRUE,COUNTIF('Prijava ekipa i izvlačenje br.'!$N7,"D")=1),'Prijava ekipa i izvlačenje br.'!O7,IF(AND(ISNUMBER('Prijava ekipa i izvlačenje br.'!R7)=TRUE,COUNTIF('Prijava ekipa i izvlačenje br.'!$Q7,"D")=1),'Prijava ekipa i izvlačenje br.'!R7,""))))))</f>
      </c>
      <c r="D7" s="8">
        <f>IF(ISBLANK('Prijava ekipa i izvlačenje br.'!C7)=TRUE,"",'Prijava ekipa i izvlačenje br.'!C7)</f>
      </c>
      <c r="E7" s="8">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c>
      <c r="F7" s="422"/>
      <c r="G7" s="53">
        <f>VLOOKUP(D7,'Upis rezultata A sektora'!$D$2:$M$13,9,0)</f>
        <v>4</v>
      </c>
      <c r="H7" s="53">
        <f t="shared" si="0"/>
      </c>
      <c r="I7" s="53">
        <f t="shared" si="1"/>
      </c>
      <c r="J7" s="422"/>
      <c r="K7" s="460"/>
    </row>
    <row r="8" spans="1:11" ht="12.75">
      <c r="A8" s="49"/>
      <c r="B8" s="54">
        <f>IF(AND(ISTEXT('Prijava ekipa i izvlačenje br.'!C8)=TRUE,ISNUMBER(F8)=FALSE,COUNTIF('Prijava ekipa i izvlačenje br.'!E8:'Prijava ekipa i izvlačenje br.'!Q8,"D")=0),COUNTA(D$2:D$13)-COUNTIF(D$2:D$13,"")+1,IF(AND(ISNUMBER(F8)=TRUE,ISNUMBER(J8)=TRUE),((COUNT(F$2:F$13)+1-RANK(F8,$F$2:$F$13,0)-RANK(F8,$F$2:$F$13,1))/2)+RANK(F8,$F$2:$F$13,0)+1,IF(ISNUMBER(F8)=TRUE,((COUNT(F$2:F$13)+1-RANK(F8,$F$2:$F$13,0)-RANK(F8,$F$2:$F$13,1))/2)+RANK(F8,$F$2:$F$13,0),"")))</f>
      </c>
      <c r="C8" s="55">
        <f>IF(AND(ISNUMBER('Prijava ekipa i izvlačenje br.'!A8)=TRUE,COUNTIF(E8,"")=0),'Prijava ekipa i izvlačenje br.'!A8,IF(AND(ISNUMBER('Prijava ekipa i izvlačenje br.'!F8)=TRUE,COUNTIF('Prijava ekipa i izvlačenje br.'!$E8,"D")=1),'Prijava ekipa i izvlačenje br.'!F8,IF(AND(ISNUMBER('Prijava ekipa i izvlačenje br.'!I8)=TRUE,COUNTIF('Prijava ekipa i izvlačenje br.'!$H8,"D")=1),'Prijava ekipa i izvlačenje br.'!I8,IF(AND(ISNUMBER('Prijava ekipa i izvlačenje br.'!L8)=TRUE,COUNTIF('Prijava ekipa i izvlačenje br.'!$K8,"D")=1),'Prijava ekipa i izvlačenje br.'!L8,IF(AND(ISNUMBER('Prijava ekipa i izvlačenje br.'!O8)=TRUE,COUNTIF('Prijava ekipa i izvlačenje br.'!$N8,"D")=1),'Prijava ekipa i izvlačenje br.'!O8,IF(AND(ISNUMBER('Prijava ekipa i izvlačenje br.'!R8)=TRUE,COUNTIF('Prijava ekipa i izvlačenje br.'!$Q8,"D")=1),'Prijava ekipa i izvlačenje br.'!R8,""))))))</f>
      </c>
      <c r="D8" s="8">
        <f>IF(ISBLANK('Prijava ekipa i izvlačenje br.'!C8)=TRUE,"",'Prijava ekipa i izvlačenje br.'!C8)</f>
      </c>
      <c r="E8" s="8">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c>
      <c r="F8" s="422"/>
      <c r="G8" s="53">
        <f>VLOOKUP(D8,'Upis rezultata A sektora'!$D$2:$M$13,9,0)</f>
        <v>4</v>
      </c>
      <c r="H8" s="53">
        <f t="shared" si="0"/>
      </c>
      <c r="I8" s="53">
        <f t="shared" si="1"/>
      </c>
      <c r="J8" s="422"/>
      <c r="K8" s="460"/>
    </row>
    <row r="9" spans="1:11" ht="12.75">
      <c r="A9" s="49"/>
      <c r="B9" s="54">
        <f>IF(AND(ISTEXT('Prijava ekipa i izvlačenje br.'!C9)=TRUE,ISNUMBER(F9)=FALSE,COUNTIF('Prijava ekipa i izvlačenje br.'!E9:'Prijava ekipa i izvlačenje br.'!Q9,"D")=0),COUNTA(D$2:D$13)-COUNTIF(D$2:D$13,"")+1,IF(AND(ISNUMBER(F9)=TRUE,ISNUMBER(J9)=TRUE),((COUNT(F$2:F$13)+1-RANK(F9,$F$2:$F$13,0)-RANK(F9,$F$2:$F$13,1))/2)+RANK(F9,$F$2:$F$13,0)+1,IF(ISNUMBER(F9)=TRUE,((COUNT(F$2:F$13)+1-RANK(F9,$F$2:$F$13,0)-RANK(F9,$F$2:$F$13,1))/2)+RANK(F9,$F$2:$F$13,0),"")))</f>
      </c>
      <c r="C9" s="55">
        <f>IF(AND(ISNUMBER('Prijava ekipa i izvlačenje br.'!A9)=TRUE,COUNTIF(E9,"")=0),'Prijava ekipa i izvlačenje br.'!A9,IF(AND(ISNUMBER('Prijava ekipa i izvlačenje br.'!F9)=TRUE,COUNTIF('Prijava ekipa i izvlačenje br.'!$E9,"D")=1),'Prijava ekipa i izvlačenje br.'!F9,IF(AND(ISNUMBER('Prijava ekipa i izvlačenje br.'!I9)=TRUE,COUNTIF('Prijava ekipa i izvlačenje br.'!$H9,"D")=1),'Prijava ekipa i izvlačenje br.'!I9,IF(AND(ISNUMBER('Prijava ekipa i izvlačenje br.'!L9)=TRUE,COUNTIF('Prijava ekipa i izvlačenje br.'!$K9,"D")=1),'Prijava ekipa i izvlačenje br.'!L9,IF(AND(ISNUMBER('Prijava ekipa i izvlačenje br.'!O9)=TRUE,COUNTIF('Prijava ekipa i izvlačenje br.'!$N9,"D")=1),'Prijava ekipa i izvlačenje br.'!O9,IF(AND(ISNUMBER('Prijava ekipa i izvlačenje br.'!R9)=TRUE,COUNTIF('Prijava ekipa i izvlačenje br.'!$Q9,"D")=1),'Prijava ekipa i izvlačenje br.'!R9,""))))))</f>
      </c>
      <c r="D9" s="8">
        <f>IF(ISBLANK('Prijava ekipa i izvlačenje br.'!C9)=TRUE,"",'Prijava ekipa i izvlačenje br.'!C9)</f>
      </c>
      <c r="E9" s="8">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c>
      <c r="F9" s="422"/>
      <c r="G9" s="53">
        <f>VLOOKUP(D9,'Upis rezultata A sektora'!$D$2:$M$13,9,0)</f>
        <v>4</v>
      </c>
      <c r="H9" s="53">
        <f t="shared" si="0"/>
      </c>
      <c r="I9" s="53">
        <f t="shared" si="1"/>
      </c>
      <c r="J9" s="422"/>
      <c r="K9" s="460"/>
    </row>
    <row r="10" spans="1:11" ht="12.75">
      <c r="A10" s="49"/>
      <c r="B10" s="54">
        <f>IF(AND(ISTEXT('Prijava ekipa i izvlačenje br.'!C10)=TRUE,ISNUMBER(F10)=FALSE,COUNTIF('Prijava ekipa i izvlačenje br.'!E10:'Prijava ekipa i izvlačenje br.'!Q10,"D")=0),COUNTA(D$2:D$13)-COUNTIF(D$2:D$13,"")+1,IF(AND(ISNUMBER(F10)=TRUE,ISNUMBER(J10)=TRUE),((COUNT(F$2:F$13)+1-RANK(F10,$F$2:$F$13,0)-RANK(F10,$F$2:$F$13,1))/2)+RANK(F10,$F$2:$F$13,0)+1,IF(ISNUMBER(F10)=TRUE,((COUNT(F$2:F$13)+1-RANK(F10,$F$2:$F$13,0)-RANK(F10,$F$2:$F$13,1))/2)+RANK(F10,$F$2:$F$13,0),"")))</f>
      </c>
      <c r="C10" s="55">
        <f>IF(AND(ISNUMBER('Prijava ekipa i izvlačenje br.'!A10)=TRUE,COUNTIF(E10,"")=0),'Prijava ekipa i izvlačenje br.'!A10,IF(AND(ISNUMBER('Prijava ekipa i izvlačenje br.'!F10)=TRUE,COUNTIF('Prijava ekipa i izvlačenje br.'!$E10,"D")=1),'Prijava ekipa i izvlačenje br.'!F10,IF(AND(ISNUMBER('Prijava ekipa i izvlačenje br.'!I10)=TRUE,COUNTIF('Prijava ekipa i izvlačenje br.'!$H10,"D")=1),'Prijava ekipa i izvlačenje br.'!I10,IF(AND(ISNUMBER('Prijava ekipa i izvlačenje br.'!L10)=TRUE,COUNTIF('Prijava ekipa i izvlačenje br.'!$K10,"D")=1),'Prijava ekipa i izvlačenje br.'!L10,IF(AND(ISNUMBER('Prijava ekipa i izvlačenje br.'!O10)=TRUE,COUNTIF('Prijava ekipa i izvlačenje br.'!$N10,"D")=1),'Prijava ekipa i izvlačenje br.'!O10,IF(AND(ISNUMBER('Prijava ekipa i izvlačenje br.'!R10)=TRUE,COUNTIF('Prijava ekipa i izvlačenje br.'!$Q10,"D")=1),'Prijava ekipa i izvlačenje br.'!R10,""))))))</f>
      </c>
      <c r="D10" s="8">
        <f>IF(ISBLANK('Prijava ekipa i izvlačenje br.'!C10)=TRUE,"",'Prijava ekipa i izvlačenje br.'!C10)</f>
      </c>
      <c r="E10" s="8">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c>
      <c r="F10" s="422"/>
      <c r="G10" s="53">
        <f>VLOOKUP(D10,'Upis rezultata A sektora'!$D$2:$M$13,9,0)</f>
        <v>4</v>
      </c>
      <c r="H10" s="53">
        <f t="shared" si="0"/>
      </c>
      <c r="I10" s="53">
        <f t="shared" si="1"/>
      </c>
      <c r="J10" s="422"/>
      <c r="K10" s="460"/>
    </row>
    <row r="11" spans="1:11" ht="12.75">
      <c r="A11" s="49"/>
      <c r="B11" s="54">
        <f>IF(AND(ISTEXT('Prijava ekipa i izvlačenje br.'!C11)=TRUE,ISNUMBER(F11)=FALSE,COUNTIF('Prijava ekipa i izvlačenje br.'!E11:'Prijava ekipa i izvlačenje br.'!Q11,"D")=0),COUNTA(D$2:D$13)-COUNTIF(D$2:D$13,"")+1,IF(AND(ISNUMBER(F11)=TRUE,ISNUMBER(J11)=TRUE),((COUNT(F$2:F$13)+1-RANK(F11,$F$2:$F$13,0)-RANK(F11,$F$2:$F$13,1))/2)+RANK(F11,$F$2:$F$13,0)+1,IF(ISNUMBER(F11)=TRUE,((COUNT(F$2:F$13)+1-RANK(F11,$F$2:$F$13,0)-RANK(F11,$F$2:$F$13,1))/2)+RANK(F11,$F$2:$F$13,0),"")))</f>
      </c>
      <c r="C11" s="55">
        <f>IF(AND(ISNUMBER('Prijava ekipa i izvlačenje br.'!A11)=TRUE,COUNTIF(E11,"")=0),'Prijava ekipa i izvlačenje br.'!A11,IF(AND(ISNUMBER('Prijava ekipa i izvlačenje br.'!F11)=TRUE,COUNTIF('Prijava ekipa i izvlačenje br.'!$E11,"D")=1),'Prijava ekipa i izvlačenje br.'!F11,IF(AND(ISNUMBER('Prijava ekipa i izvlačenje br.'!I11)=TRUE,COUNTIF('Prijava ekipa i izvlačenje br.'!$H11,"D")=1),'Prijava ekipa i izvlačenje br.'!I11,IF(AND(ISNUMBER('Prijava ekipa i izvlačenje br.'!L11)=TRUE,COUNTIF('Prijava ekipa i izvlačenje br.'!$K11,"D")=1),'Prijava ekipa i izvlačenje br.'!L11,IF(AND(ISNUMBER('Prijava ekipa i izvlačenje br.'!O11)=TRUE,COUNTIF('Prijava ekipa i izvlačenje br.'!$N11,"D")=1),'Prijava ekipa i izvlačenje br.'!O11,IF(AND(ISNUMBER('Prijava ekipa i izvlačenje br.'!R11)=TRUE,COUNTIF('Prijava ekipa i izvlačenje br.'!$Q11,"D")=1),'Prijava ekipa i izvlačenje br.'!R11,""))))))</f>
      </c>
      <c r="D11" s="8">
        <f>IF(ISBLANK('Prijava ekipa i izvlačenje br.'!C11)=TRUE,"",'Prijava ekipa i izvlačenje br.'!C11)</f>
      </c>
      <c r="E11" s="8">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c>
      <c r="F11" s="422"/>
      <c r="G11" s="53">
        <f>VLOOKUP(D11,'Upis rezultata A sektora'!$D$2:$M$13,9,0)</f>
        <v>4</v>
      </c>
      <c r="H11" s="53">
        <f t="shared" si="0"/>
      </c>
      <c r="I11" s="53">
        <f t="shared" si="1"/>
      </c>
      <c r="J11" s="422"/>
      <c r="K11" s="460"/>
    </row>
    <row r="12" spans="1:11" ht="12.75">
      <c r="A12" s="49"/>
      <c r="B12" s="54">
        <f>IF(AND(ISTEXT('Prijava ekipa i izvlačenje br.'!C12)=TRUE,ISNUMBER(F12)=FALSE,COUNTIF('Prijava ekipa i izvlačenje br.'!E12:'Prijava ekipa i izvlačenje br.'!Q12,"D")=0),COUNTA(D$2:D$13)-COUNTIF(D$2:D$13,"")+1,IF(AND(ISNUMBER(F12)=TRUE,ISNUMBER(J12)=TRUE),((COUNT(F$2:F$13)+1-RANK(F12,$F$2:$F$13,0)-RANK(F12,$F$2:$F$13,1))/2)+RANK(F12,$F$2:$F$13,0)+1,IF(ISNUMBER(F12)=TRUE,((COUNT(F$2:F$13)+1-RANK(F12,$F$2:$F$13,0)-RANK(F12,$F$2:$F$13,1))/2)+RANK(F12,$F$2:$F$13,0),"")))</f>
      </c>
      <c r="C12" s="55">
        <f>IF(AND(ISNUMBER('Prijava ekipa i izvlačenje br.'!A12)=TRUE,COUNTIF(E12,"")=0),'Prijava ekipa i izvlačenje br.'!A12,IF(AND(ISNUMBER('Prijava ekipa i izvlačenje br.'!F12)=TRUE,COUNTIF('Prijava ekipa i izvlačenje br.'!$E12,"D")=1),'Prijava ekipa i izvlačenje br.'!F12,IF(AND(ISNUMBER('Prijava ekipa i izvlačenje br.'!I12)=TRUE,COUNTIF('Prijava ekipa i izvlačenje br.'!$H12,"D")=1),'Prijava ekipa i izvlačenje br.'!I12,IF(AND(ISNUMBER('Prijava ekipa i izvlačenje br.'!L12)=TRUE,COUNTIF('Prijava ekipa i izvlačenje br.'!$K12,"D")=1),'Prijava ekipa i izvlačenje br.'!L12,IF(AND(ISNUMBER('Prijava ekipa i izvlačenje br.'!O12)=TRUE,COUNTIF('Prijava ekipa i izvlačenje br.'!$N12,"D")=1),'Prijava ekipa i izvlačenje br.'!O12,IF(AND(ISNUMBER('Prijava ekipa i izvlačenje br.'!R12)=TRUE,COUNTIF('Prijava ekipa i izvlačenje br.'!$Q12,"D")=1),'Prijava ekipa i izvlačenje br.'!R12,""))))))</f>
      </c>
      <c r="D12" s="8">
        <f>IF(ISBLANK('Prijava ekipa i izvlačenje br.'!C12)=TRUE,"",'Prijava ekipa i izvlačenje br.'!C12)</f>
      </c>
      <c r="E12" s="8">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c>
      <c r="F12" s="422"/>
      <c r="G12" s="53">
        <f>VLOOKUP(D12,'Upis rezultata A sektora'!$D$2:$M$13,9,0)</f>
        <v>4</v>
      </c>
      <c r="H12" s="53">
        <f t="shared" si="0"/>
      </c>
      <c r="I12" s="53">
        <f t="shared" si="1"/>
      </c>
      <c r="J12" s="422"/>
      <c r="K12" s="460"/>
    </row>
    <row r="13" spans="1:11" ht="13.5" thickBot="1">
      <c r="A13" s="431"/>
      <c r="B13" s="425">
        <f>IF(AND(ISTEXT('Prijava ekipa i izvlačenje br.'!C13)=TRUE,ISNUMBER(F13)=FALSE,COUNTIF('Prijava ekipa i izvlačenje br.'!E13:'Prijava ekipa i izvlačenje br.'!Q13,"D")=0),COUNTA(D$2:D$13)-COUNTIF(D$2:D$13,"")+1,IF(AND(ISNUMBER(F13)=TRUE,ISNUMBER(J13)=TRUE),((COUNT(F$2:F$13)+1-RANK(F13,$F$2:$F$13,0)-RANK(F13,$F$2:$F$13,1))/2)+RANK(F13,$F$2:$F$13,0)+1,IF(ISNUMBER(F13)=TRUE,((COUNT(F$2:F$13)+1-RANK(F13,$F$2:$F$13,0)-RANK(F13,$F$2:$F$13,1))/2)+RANK(F13,$F$2:$F$13,0),"")))</f>
      </c>
      <c r="C13" s="426">
        <f>IF(AND(ISNUMBER('Prijava ekipa i izvlačenje br.'!A13)=TRUE,COUNTIF(E13,"")=0),'Prijava ekipa i izvlačenje br.'!A13,IF(AND(ISNUMBER('Prijava ekipa i izvlačenje br.'!F13)=TRUE,COUNTIF('Prijava ekipa i izvlačenje br.'!$E13,"D")=1),'Prijava ekipa i izvlačenje br.'!F13,IF(AND(ISNUMBER('Prijava ekipa i izvlačenje br.'!I13)=TRUE,COUNTIF('Prijava ekipa i izvlačenje br.'!$H13,"D")=1),'Prijava ekipa i izvlačenje br.'!I13,IF(AND(ISNUMBER('Prijava ekipa i izvlačenje br.'!L13)=TRUE,COUNTIF('Prijava ekipa i izvlačenje br.'!$K13,"D")=1),'Prijava ekipa i izvlačenje br.'!L13,IF(AND(ISNUMBER('Prijava ekipa i izvlačenje br.'!O13)=TRUE,COUNTIF('Prijava ekipa i izvlačenje br.'!$N13,"D")=1),'Prijava ekipa i izvlačenje br.'!O13,IF(AND(ISNUMBER('Prijava ekipa i izvlačenje br.'!R13)=TRUE,COUNTIF('Prijava ekipa i izvlačenje br.'!$Q13,"D")=1),'Prijava ekipa i izvlačenje br.'!R13,""))))))</f>
      </c>
      <c r="D13" s="433">
        <f>IF(ISBLANK('Prijava ekipa i izvlačenje br.'!C13)=TRUE,"",'Prijava ekipa i izvlačenje br.'!C13)</f>
      </c>
      <c r="E13" s="433">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c>
      <c r="F13" s="428"/>
      <c r="G13" s="434">
        <f>VLOOKUP(D13,'Upis rezultata A sektora'!$D$2:$M$13,9,0)</f>
        <v>4</v>
      </c>
      <c r="H13" s="434">
        <f t="shared" si="0"/>
      </c>
      <c r="I13" s="434">
        <f t="shared" si="1"/>
      </c>
      <c r="J13" s="428"/>
      <c r="K13" s="460"/>
    </row>
  </sheetData>
  <sheetProtection password="C7E2" sheet="1" objects="1" scenarios="1"/>
  <printOptions/>
  <pageMargins left="0.75" right="0.75" top="1" bottom="1" header="0.5" footer="0.5"/>
  <pageSetup horizontalDpi="360" verticalDpi="360" orientation="portrait" paperSize="9" r:id="rId3"/>
  <headerFooter alignWithMargins="0">
    <oddFooter>&amp;C&amp;"Arial,Kurziv"&amp;11&amp;XProgram za izračun rezultata i provođenje natjecanja</oddFooter>
  </headerFooter>
  <legacyDrawing r:id="rId2"/>
</worksheet>
</file>

<file path=xl/worksheets/sheet14.xml><?xml version="1.0" encoding="utf-8"?>
<worksheet xmlns="http://schemas.openxmlformats.org/spreadsheetml/2006/main" xmlns:r="http://schemas.openxmlformats.org/officeDocument/2006/relationships">
  <sheetPr codeName="Sheet17">
    <tabColor indexed="10"/>
  </sheetPr>
  <dimension ref="A1:M13"/>
  <sheetViews>
    <sheetView showRowColHeaders="0" zoomScalePageLayoutView="0" workbookViewId="0" topLeftCell="A1">
      <selection activeCell="F2" sqref="F2"/>
    </sheetView>
  </sheetViews>
  <sheetFormatPr defaultColWidth="9.140625" defaultRowHeight="12.75"/>
  <cols>
    <col min="1" max="1" width="9.140625" style="444" customWidth="1"/>
    <col min="2" max="2" width="9.140625" style="452" customWidth="1"/>
    <col min="3" max="3" width="9.140625" style="459" customWidth="1"/>
    <col min="4" max="4" width="20.140625" style="459" customWidth="1"/>
    <col min="5" max="5" width="18.57421875" style="444" customWidth="1"/>
    <col min="6" max="6" width="9.140625" style="444" customWidth="1"/>
    <col min="7" max="7" width="0" style="459" hidden="1" customWidth="1"/>
    <col min="8" max="9" width="0" style="461" hidden="1" customWidth="1"/>
    <col min="10" max="16384" width="9.140625" style="444" customWidth="1"/>
  </cols>
  <sheetData>
    <row r="1" spans="1:13" ht="255">
      <c r="A1" s="196"/>
      <c r="B1" s="146" t="s">
        <v>72</v>
      </c>
      <c r="C1" s="146" t="s">
        <v>22</v>
      </c>
      <c r="D1" s="140" t="s">
        <v>20</v>
      </c>
      <c r="E1" s="140" t="s">
        <v>73</v>
      </c>
      <c r="F1" s="195" t="s">
        <v>74</v>
      </c>
      <c r="G1" s="419" t="s">
        <v>22</v>
      </c>
      <c r="H1" s="419" t="str">
        <f>B1</f>
        <v>Sektorski plasman</v>
      </c>
      <c r="I1" s="419" t="s">
        <v>136</v>
      </c>
      <c r="J1" s="145" t="s">
        <v>145</v>
      </c>
      <c r="K1" s="456"/>
      <c r="L1" s="449"/>
      <c r="M1" s="449"/>
    </row>
    <row r="2" spans="1:11" ht="12.75">
      <c r="A2" s="49"/>
      <c r="B2" s="54">
        <f>IF(AND(ISTEXT('Prijava ekipa i izvlačenje br.'!C2)=TRUE,ISNUMBER(F2)=FALSE,COUNTIF('Prijava ekipa i izvlačenje br.'!E2:'Prijava ekipa i izvlačenje br.'!Q2,"E")=0),COUNTA(D$2:D$13)-COUNTIF(D$2:D$13,"")+1,IF(AND(ISNUMBER(F2)=TRUE,ISNUMBER(J2)=TRUE),((COUNT(F$2:F$13)+1-RANK(F2,$F$2:$F$13,0)-RANK(F2,$F$2:$F$13,1))/2)+RANK(F2,$F$2:$F$13,0)+1,IF(ISNUMBER(F2)=TRUE,((COUNT(F$2:F$13)+1-RANK(F2,$F$2:$F$13,0)-RANK(F2,$F$2:$F$13,1))/2)+RANK(F2,$F$2:$F$13,0),"")))</f>
      </c>
      <c r="C2" s="55">
        <f>IF(AND(ISNUMBER('Prijava ekipa i izvlačenje br.'!A2)=TRUE,COUNTIF(E2,"")=0),'Prijava ekipa i izvlačenje br.'!A2,IF(AND(ISNUMBER('Prijava ekipa i izvlačenje br.'!F2)=TRUE,COUNTIF('Prijava ekipa i izvlačenje br.'!$E2,"E")=1),'Prijava ekipa i izvlačenje br.'!F2,IF(AND(ISNUMBER('Prijava ekipa i izvlačenje br.'!I2)=TRUE,COUNTIF('Prijava ekipa i izvlačenje br.'!$H2,"E")=1),'Prijava ekipa i izvlačenje br.'!I2,IF(AND(ISNUMBER('Prijava ekipa i izvlačenje br.'!L2)=TRUE,COUNTIF('Prijava ekipa i izvlačenje br.'!$K2,"E")=1),'Prijava ekipa i izvlačenje br.'!L2,IF(AND(ISNUMBER('Prijava ekipa i izvlačenje br.'!O2)=TRUE,COUNTIF('Prijava ekipa i izvlačenje br.'!$N2,"E")=1),'Prijava ekipa i izvlačenje br.'!O2,IF(AND(ISNUMBER('Prijava ekipa i izvlačenje br.'!R2)=TRUE,COUNTIF('Prijava ekipa i izvlačenje br.'!$Q2,"E")=1),'Prijava ekipa i izvlačenje br.'!R2,""))))))</f>
      </c>
      <c r="D2" s="8">
        <f>IF(ISBLANK('Prijava ekipa i izvlačenje br.'!C2)=TRUE,"",'Prijava ekipa i izvlačenje br.'!C2)</f>
      </c>
      <c r="E2" s="8">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c>
      <c r="F2" s="422"/>
      <c r="G2" s="53">
        <f>VLOOKUP(D2,'Upis rezultata A sektora'!$D$2:$M$13,10,0)</f>
        <v>5</v>
      </c>
      <c r="H2" s="435">
        <f>B2</f>
      </c>
      <c r="I2" s="435">
        <f>C2</f>
      </c>
      <c r="J2" s="422"/>
      <c r="K2" s="460"/>
    </row>
    <row r="3" spans="1:11" ht="12.75">
      <c r="A3" s="49"/>
      <c r="B3" s="54">
        <f>IF(AND(ISTEXT('Prijava ekipa i izvlačenje br.'!C3)=TRUE,ISNUMBER(F3)=FALSE,COUNTIF('Prijava ekipa i izvlačenje br.'!E3:'Prijava ekipa i izvlačenje br.'!Q3,"E")=0),COUNTA(D$2:D$13)-COUNTIF(D$2:D$13,"")+1,IF(AND(ISNUMBER(F3)=TRUE,ISNUMBER(J3)=TRUE),((COUNT(F$2:F$13)+1-RANK(F3,$F$2:$F$13,0)-RANK(F3,$F$2:$F$13,1))/2)+RANK(F3,$F$2:$F$13,0)+1,IF(ISNUMBER(F3)=TRUE,((COUNT(F$2:F$13)+1-RANK(F3,$F$2:$F$13,0)-RANK(F3,$F$2:$F$13,1))/2)+RANK(F3,$F$2:$F$13,0),"")))</f>
      </c>
      <c r="C3" s="55">
        <f>IF(AND(ISNUMBER('Prijava ekipa i izvlačenje br.'!A3)=TRUE,COUNTIF(E3,"")=0),'Prijava ekipa i izvlačenje br.'!A3,IF(AND(ISNUMBER('Prijava ekipa i izvlačenje br.'!F3)=TRUE,COUNTIF('Prijava ekipa i izvlačenje br.'!$E3,"E")=1),'Prijava ekipa i izvlačenje br.'!F3,IF(AND(ISNUMBER('Prijava ekipa i izvlačenje br.'!I3)=TRUE,COUNTIF('Prijava ekipa i izvlačenje br.'!$H3,"E")=1),'Prijava ekipa i izvlačenje br.'!I3,IF(AND(ISNUMBER('Prijava ekipa i izvlačenje br.'!L3)=TRUE,COUNTIF('Prijava ekipa i izvlačenje br.'!$K3,"E")=1),'Prijava ekipa i izvlačenje br.'!L3,IF(AND(ISNUMBER('Prijava ekipa i izvlačenje br.'!O3)=TRUE,COUNTIF('Prijava ekipa i izvlačenje br.'!$N3,"E")=1),'Prijava ekipa i izvlačenje br.'!O3,IF(AND(ISNUMBER('Prijava ekipa i izvlačenje br.'!R3)=TRUE,COUNTIF('Prijava ekipa i izvlačenje br.'!$Q3,"E")=1),'Prijava ekipa i izvlačenje br.'!R3,""))))))</f>
      </c>
      <c r="D3" s="8">
        <f>IF(ISBLANK('Prijava ekipa i izvlačenje br.'!C3)=TRUE,"",'Prijava ekipa i izvlačenje br.'!C3)</f>
      </c>
      <c r="E3" s="8">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c>
      <c r="F3" s="422"/>
      <c r="G3" s="53">
        <f>VLOOKUP(D3,'Upis rezultata A sektora'!$D$2:$M$13,10,0)</f>
        <v>5</v>
      </c>
      <c r="H3" s="435">
        <f aca="true" t="shared" si="0" ref="H3:H13">B3</f>
      </c>
      <c r="I3" s="435">
        <f aca="true" t="shared" si="1" ref="I3:I13">C3</f>
      </c>
      <c r="J3" s="422"/>
      <c r="K3" s="460"/>
    </row>
    <row r="4" spans="1:11" ht="12.75">
      <c r="A4" s="49"/>
      <c r="B4" s="54">
        <f>IF(AND(ISTEXT('Prijava ekipa i izvlačenje br.'!C4)=TRUE,ISNUMBER(F4)=FALSE,COUNTIF('Prijava ekipa i izvlačenje br.'!E4:'Prijava ekipa i izvlačenje br.'!Q4,"E")=0),COUNTA(D$2:D$13)-COUNTIF(D$2:D$13,"")+1,IF(AND(ISNUMBER(F4)=TRUE,ISNUMBER(J4)=TRUE),((COUNT(F$2:F$13)+1-RANK(F4,$F$2:$F$13,0)-RANK(F4,$F$2:$F$13,1))/2)+RANK(F4,$F$2:$F$13,0)+1,IF(ISNUMBER(F4)=TRUE,((COUNT(F$2:F$13)+1-RANK(F4,$F$2:$F$13,0)-RANK(F4,$F$2:$F$13,1))/2)+RANK(F4,$F$2:$F$13,0),"")))</f>
      </c>
      <c r="C4" s="55">
        <f>IF(AND(ISNUMBER('Prijava ekipa i izvlačenje br.'!A4)=TRUE,COUNTIF(E4,"")=0),'Prijava ekipa i izvlačenje br.'!A4,IF(AND(ISNUMBER('Prijava ekipa i izvlačenje br.'!F4)=TRUE,COUNTIF('Prijava ekipa i izvlačenje br.'!$E4,"E")=1),'Prijava ekipa i izvlačenje br.'!F4,IF(AND(ISNUMBER('Prijava ekipa i izvlačenje br.'!I4)=TRUE,COUNTIF('Prijava ekipa i izvlačenje br.'!$H4,"E")=1),'Prijava ekipa i izvlačenje br.'!I4,IF(AND(ISNUMBER('Prijava ekipa i izvlačenje br.'!L4)=TRUE,COUNTIF('Prijava ekipa i izvlačenje br.'!$K4,"E")=1),'Prijava ekipa i izvlačenje br.'!L4,IF(AND(ISNUMBER('Prijava ekipa i izvlačenje br.'!O4)=TRUE,COUNTIF('Prijava ekipa i izvlačenje br.'!$N4,"E")=1),'Prijava ekipa i izvlačenje br.'!O4,IF(AND(ISNUMBER('Prijava ekipa i izvlačenje br.'!R4)=TRUE,COUNTIF('Prijava ekipa i izvlačenje br.'!$Q4,"E")=1),'Prijava ekipa i izvlačenje br.'!R4,""))))))</f>
      </c>
      <c r="D4" s="8">
        <f>IF(ISBLANK('Prijava ekipa i izvlačenje br.'!C4)=TRUE,"",'Prijava ekipa i izvlačenje br.'!C4)</f>
      </c>
      <c r="E4" s="8">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c>
      <c r="F4" s="422"/>
      <c r="G4" s="53">
        <f>VLOOKUP(D4,'Upis rezultata A sektora'!$D$2:$M$13,10,0)</f>
        <v>5</v>
      </c>
      <c r="H4" s="435">
        <f t="shared" si="0"/>
      </c>
      <c r="I4" s="435">
        <f t="shared" si="1"/>
      </c>
      <c r="J4" s="422"/>
      <c r="K4" s="460"/>
    </row>
    <row r="5" spans="1:11" ht="12.75">
      <c r="A5" s="49"/>
      <c r="B5" s="54">
        <f>IF(AND(ISTEXT('Prijava ekipa i izvlačenje br.'!C5)=TRUE,ISNUMBER(F5)=FALSE,COUNTIF('Prijava ekipa i izvlačenje br.'!E5:'Prijava ekipa i izvlačenje br.'!Q5,"E")=0),COUNTA(D$2:D$13)-COUNTIF(D$2:D$13,"")+1,IF(AND(ISNUMBER(F5)=TRUE,ISNUMBER(J5)=TRUE),((COUNT(F$2:F$13)+1-RANK(F5,$F$2:$F$13,0)-RANK(F5,$F$2:$F$13,1))/2)+RANK(F5,$F$2:$F$13,0)+1,IF(ISNUMBER(F5)=TRUE,((COUNT(F$2:F$13)+1-RANK(F5,$F$2:$F$13,0)-RANK(F5,$F$2:$F$13,1))/2)+RANK(F5,$F$2:$F$13,0),"")))</f>
      </c>
      <c r="C5" s="55">
        <f>IF(AND(ISNUMBER('Prijava ekipa i izvlačenje br.'!A5)=TRUE,COUNTIF(E5,"")=0),'Prijava ekipa i izvlačenje br.'!A5,IF(AND(ISNUMBER('Prijava ekipa i izvlačenje br.'!F5)=TRUE,COUNTIF('Prijava ekipa i izvlačenje br.'!$E5,"E")=1),'Prijava ekipa i izvlačenje br.'!F5,IF(AND(ISNUMBER('Prijava ekipa i izvlačenje br.'!I5)=TRUE,COUNTIF('Prijava ekipa i izvlačenje br.'!$H5,"E")=1),'Prijava ekipa i izvlačenje br.'!I5,IF(AND(ISNUMBER('Prijava ekipa i izvlačenje br.'!L5)=TRUE,COUNTIF('Prijava ekipa i izvlačenje br.'!$K5,"E")=1),'Prijava ekipa i izvlačenje br.'!L5,IF(AND(ISNUMBER('Prijava ekipa i izvlačenje br.'!O5)=TRUE,COUNTIF('Prijava ekipa i izvlačenje br.'!$N5,"E")=1),'Prijava ekipa i izvlačenje br.'!O5,IF(AND(ISNUMBER('Prijava ekipa i izvlačenje br.'!R5)=TRUE,COUNTIF('Prijava ekipa i izvlačenje br.'!$Q5,"E")=1),'Prijava ekipa i izvlačenje br.'!R5,""))))))</f>
      </c>
      <c r="D5" s="8">
        <f>IF(ISBLANK('Prijava ekipa i izvlačenje br.'!C5)=TRUE,"",'Prijava ekipa i izvlačenje br.'!C5)</f>
      </c>
      <c r="E5" s="8">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c>
      <c r="F5" s="422"/>
      <c r="G5" s="53">
        <f>VLOOKUP(D5,'Upis rezultata A sektora'!$D$2:$M$13,10,0)</f>
        <v>5</v>
      </c>
      <c r="H5" s="435">
        <f t="shared" si="0"/>
      </c>
      <c r="I5" s="435">
        <f t="shared" si="1"/>
      </c>
      <c r="J5" s="422"/>
      <c r="K5" s="460"/>
    </row>
    <row r="6" spans="1:11" ht="12.75">
      <c r="A6" s="49"/>
      <c r="B6" s="54">
        <f>IF(AND(ISTEXT('Prijava ekipa i izvlačenje br.'!C6)=TRUE,ISNUMBER(F6)=FALSE,COUNTIF('Prijava ekipa i izvlačenje br.'!E6:'Prijava ekipa i izvlačenje br.'!Q6,"E")=0),COUNTA(D$2:D$13)-COUNTIF(D$2:D$13,"")+1,IF(AND(ISNUMBER(F6)=TRUE,ISNUMBER(J6)=TRUE),((COUNT(F$2:F$13)+1-RANK(F6,$F$2:$F$13,0)-RANK(F6,$F$2:$F$13,1))/2)+RANK(F6,$F$2:$F$13,0)+1,IF(ISNUMBER(F6)=TRUE,((COUNT(F$2:F$13)+1-RANK(F6,$F$2:$F$13,0)-RANK(F6,$F$2:$F$13,1))/2)+RANK(F6,$F$2:$F$13,0),"")))</f>
      </c>
      <c r="C6" s="55">
        <f>IF(AND(ISNUMBER('Prijava ekipa i izvlačenje br.'!A6)=TRUE,COUNTIF(E6,"")=0),'Prijava ekipa i izvlačenje br.'!A6,IF(AND(ISNUMBER('Prijava ekipa i izvlačenje br.'!F6)=TRUE,COUNTIF('Prijava ekipa i izvlačenje br.'!$E6,"E")=1),'Prijava ekipa i izvlačenje br.'!F6,IF(AND(ISNUMBER('Prijava ekipa i izvlačenje br.'!I6)=TRUE,COUNTIF('Prijava ekipa i izvlačenje br.'!$H6,"E")=1),'Prijava ekipa i izvlačenje br.'!I6,IF(AND(ISNUMBER('Prijava ekipa i izvlačenje br.'!L6)=TRUE,COUNTIF('Prijava ekipa i izvlačenje br.'!$K6,"E")=1),'Prijava ekipa i izvlačenje br.'!L6,IF(AND(ISNUMBER('Prijava ekipa i izvlačenje br.'!O6)=TRUE,COUNTIF('Prijava ekipa i izvlačenje br.'!$N6,"E")=1),'Prijava ekipa i izvlačenje br.'!O6,IF(AND(ISNUMBER('Prijava ekipa i izvlačenje br.'!R6)=TRUE,COUNTIF('Prijava ekipa i izvlačenje br.'!$Q6,"E")=1),'Prijava ekipa i izvlačenje br.'!R6,""))))))</f>
      </c>
      <c r="D6" s="8">
        <f>IF(ISBLANK('Prijava ekipa i izvlačenje br.'!C6)=TRUE,"",'Prijava ekipa i izvlačenje br.'!C6)</f>
      </c>
      <c r="E6" s="8">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c>
      <c r="F6" s="422"/>
      <c r="G6" s="53">
        <f>VLOOKUP(D6,'Upis rezultata A sektora'!$D$2:$M$13,10,0)</f>
        <v>5</v>
      </c>
      <c r="H6" s="435">
        <f t="shared" si="0"/>
      </c>
      <c r="I6" s="435">
        <f t="shared" si="1"/>
      </c>
      <c r="J6" s="422"/>
      <c r="K6" s="460"/>
    </row>
    <row r="7" spans="1:11" ht="12.75">
      <c r="A7" s="49"/>
      <c r="B7" s="54">
        <f>IF(AND(ISTEXT('Prijava ekipa i izvlačenje br.'!C7)=TRUE,ISNUMBER(F7)=FALSE,COUNTIF('Prijava ekipa i izvlačenje br.'!E7:'Prijava ekipa i izvlačenje br.'!Q7,"E")=0),COUNTA(D$2:D$13)-COUNTIF(D$2:D$13,"")+1,IF(AND(ISNUMBER(F7)=TRUE,ISNUMBER(J7)=TRUE),((COUNT(F$2:F$13)+1-RANK(F7,$F$2:$F$13,0)-RANK(F7,$F$2:$F$13,1))/2)+RANK(F7,$F$2:$F$13,0)+1,IF(ISNUMBER(F7)=TRUE,((COUNT(F$2:F$13)+1-RANK(F7,$F$2:$F$13,0)-RANK(F7,$F$2:$F$13,1))/2)+RANK(F7,$F$2:$F$13,0),"")))</f>
      </c>
      <c r="C7" s="55">
        <f>IF(AND(ISNUMBER('Prijava ekipa i izvlačenje br.'!A7)=TRUE,COUNTIF(E7,"")=0),'Prijava ekipa i izvlačenje br.'!A7,IF(AND(ISNUMBER('Prijava ekipa i izvlačenje br.'!F7)=TRUE,COUNTIF('Prijava ekipa i izvlačenje br.'!$E7,"E")=1),'Prijava ekipa i izvlačenje br.'!F7,IF(AND(ISNUMBER('Prijava ekipa i izvlačenje br.'!I7)=TRUE,COUNTIF('Prijava ekipa i izvlačenje br.'!$H7,"E")=1),'Prijava ekipa i izvlačenje br.'!I7,IF(AND(ISNUMBER('Prijava ekipa i izvlačenje br.'!L7)=TRUE,COUNTIF('Prijava ekipa i izvlačenje br.'!$K7,"E")=1),'Prijava ekipa i izvlačenje br.'!L7,IF(AND(ISNUMBER('Prijava ekipa i izvlačenje br.'!O7)=TRUE,COUNTIF('Prijava ekipa i izvlačenje br.'!$N7,"E")=1),'Prijava ekipa i izvlačenje br.'!O7,IF(AND(ISNUMBER('Prijava ekipa i izvlačenje br.'!R7)=TRUE,COUNTIF('Prijava ekipa i izvlačenje br.'!$Q7,"E")=1),'Prijava ekipa i izvlačenje br.'!R7,""))))))</f>
      </c>
      <c r="D7" s="8">
        <f>IF(ISBLANK('Prijava ekipa i izvlačenje br.'!C7)=TRUE,"",'Prijava ekipa i izvlačenje br.'!C7)</f>
      </c>
      <c r="E7" s="8">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c>
      <c r="F7" s="422"/>
      <c r="G7" s="53">
        <f>VLOOKUP(D7,'Upis rezultata A sektora'!$D$2:$M$13,10,0)</f>
        <v>5</v>
      </c>
      <c r="H7" s="435">
        <f t="shared" si="0"/>
      </c>
      <c r="I7" s="435">
        <f t="shared" si="1"/>
      </c>
      <c r="J7" s="422"/>
      <c r="K7" s="460"/>
    </row>
    <row r="8" spans="1:11" ht="12.75">
      <c r="A8" s="49"/>
      <c r="B8" s="54">
        <f>IF(AND(ISTEXT('Prijava ekipa i izvlačenje br.'!C8)=TRUE,ISNUMBER(F8)=FALSE,COUNTIF('Prijava ekipa i izvlačenje br.'!E8:'Prijava ekipa i izvlačenje br.'!Q8,"E")=0),COUNTA(D$2:D$13)-COUNTIF(D$2:D$13,"")+1,IF(AND(ISNUMBER(F8)=TRUE,ISNUMBER(J8)=TRUE),((COUNT(F$2:F$13)+1-RANK(F8,$F$2:$F$13,0)-RANK(F8,$F$2:$F$13,1))/2)+RANK(F8,$F$2:$F$13,0)+1,IF(ISNUMBER(F8)=TRUE,((COUNT(F$2:F$13)+1-RANK(F8,$F$2:$F$13,0)-RANK(F8,$F$2:$F$13,1))/2)+RANK(F8,$F$2:$F$13,0),"")))</f>
      </c>
      <c r="C8" s="55">
        <f>IF(AND(ISNUMBER('Prijava ekipa i izvlačenje br.'!A8)=TRUE,COUNTIF(E8,"")=0),'Prijava ekipa i izvlačenje br.'!A8,IF(AND(ISNUMBER('Prijava ekipa i izvlačenje br.'!F8)=TRUE,COUNTIF('Prijava ekipa i izvlačenje br.'!$E8,"E")=1),'Prijava ekipa i izvlačenje br.'!F8,IF(AND(ISNUMBER('Prijava ekipa i izvlačenje br.'!I8)=TRUE,COUNTIF('Prijava ekipa i izvlačenje br.'!$H8,"E")=1),'Prijava ekipa i izvlačenje br.'!I8,IF(AND(ISNUMBER('Prijava ekipa i izvlačenje br.'!L8)=TRUE,COUNTIF('Prijava ekipa i izvlačenje br.'!$K8,"E")=1),'Prijava ekipa i izvlačenje br.'!L8,IF(AND(ISNUMBER('Prijava ekipa i izvlačenje br.'!O8)=TRUE,COUNTIF('Prijava ekipa i izvlačenje br.'!$N8,"E")=1),'Prijava ekipa i izvlačenje br.'!O8,IF(AND(ISNUMBER('Prijava ekipa i izvlačenje br.'!R8)=TRUE,COUNTIF('Prijava ekipa i izvlačenje br.'!$Q8,"E")=1),'Prijava ekipa i izvlačenje br.'!R8,""))))))</f>
      </c>
      <c r="D8" s="8">
        <f>IF(ISBLANK('Prijava ekipa i izvlačenje br.'!C8)=TRUE,"",'Prijava ekipa i izvlačenje br.'!C8)</f>
      </c>
      <c r="E8" s="8">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c>
      <c r="F8" s="422"/>
      <c r="G8" s="53">
        <f>VLOOKUP(D8,'Upis rezultata A sektora'!$D$2:$M$13,10,0)</f>
        <v>5</v>
      </c>
      <c r="H8" s="435">
        <f t="shared" si="0"/>
      </c>
      <c r="I8" s="435">
        <f t="shared" si="1"/>
      </c>
      <c r="J8" s="422"/>
      <c r="K8" s="460"/>
    </row>
    <row r="9" spans="1:11" ht="12.75">
      <c r="A9" s="49"/>
      <c r="B9" s="54">
        <f>IF(AND(ISTEXT('Prijava ekipa i izvlačenje br.'!C9)=TRUE,ISNUMBER(F9)=FALSE,COUNTIF('Prijava ekipa i izvlačenje br.'!E9:'Prijava ekipa i izvlačenje br.'!Q9,"E")=0),COUNTA(D$2:D$13)-COUNTIF(D$2:D$13,"")+1,IF(AND(ISNUMBER(F9)=TRUE,ISNUMBER(J9)=TRUE),((COUNT(F$2:F$13)+1-RANK(F9,$F$2:$F$13,0)-RANK(F9,$F$2:$F$13,1))/2)+RANK(F9,$F$2:$F$13,0)+1,IF(ISNUMBER(F9)=TRUE,((COUNT(F$2:F$13)+1-RANK(F9,$F$2:$F$13,0)-RANK(F9,$F$2:$F$13,1))/2)+RANK(F9,$F$2:$F$13,0),"")))</f>
      </c>
      <c r="C9" s="55">
        <f>IF(AND(ISNUMBER('Prijava ekipa i izvlačenje br.'!A9)=TRUE,COUNTIF(E9,"")=0),'Prijava ekipa i izvlačenje br.'!A9,IF(AND(ISNUMBER('Prijava ekipa i izvlačenje br.'!F9)=TRUE,COUNTIF('Prijava ekipa i izvlačenje br.'!$E9,"E")=1),'Prijava ekipa i izvlačenje br.'!F9,IF(AND(ISNUMBER('Prijava ekipa i izvlačenje br.'!I9)=TRUE,COUNTIF('Prijava ekipa i izvlačenje br.'!$H9,"E")=1),'Prijava ekipa i izvlačenje br.'!I9,IF(AND(ISNUMBER('Prijava ekipa i izvlačenje br.'!L9)=TRUE,COUNTIF('Prijava ekipa i izvlačenje br.'!$K9,"E")=1),'Prijava ekipa i izvlačenje br.'!L9,IF(AND(ISNUMBER('Prijava ekipa i izvlačenje br.'!O9)=TRUE,COUNTIF('Prijava ekipa i izvlačenje br.'!$N9,"E")=1),'Prijava ekipa i izvlačenje br.'!O9,IF(AND(ISNUMBER('Prijava ekipa i izvlačenje br.'!R9)=TRUE,COUNTIF('Prijava ekipa i izvlačenje br.'!$Q9,"E")=1),'Prijava ekipa i izvlačenje br.'!R9,""))))))</f>
      </c>
      <c r="D9" s="8">
        <f>IF(ISBLANK('Prijava ekipa i izvlačenje br.'!C9)=TRUE,"",'Prijava ekipa i izvlačenje br.'!C9)</f>
      </c>
      <c r="E9" s="8">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c>
      <c r="F9" s="422"/>
      <c r="G9" s="53">
        <f>VLOOKUP(D9,'Upis rezultata A sektora'!$D$2:$M$13,10,0)</f>
        <v>5</v>
      </c>
      <c r="H9" s="435">
        <f t="shared" si="0"/>
      </c>
      <c r="I9" s="435">
        <f t="shared" si="1"/>
      </c>
      <c r="J9" s="422"/>
      <c r="K9" s="460"/>
    </row>
    <row r="10" spans="1:11" ht="12.75">
      <c r="A10" s="49"/>
      <c r="B10" s="54">
        <f>IF(AND(ISTEXT('Prijava ekipa i izvlačenje br.'!C10)=TRUE,ISNUMBER(F10)=FALSE,COUNTIF('Prijava ekipa i izvlačenje br.'!E10:'Prijava ekipa i izvlačenje br.'!Q10,"E")=0),COUNTA(D$2:D$13)-COUNTIF(D$2:D$13,"")+1,IF(AND(ISNUMBER(F10)=TRUE,ISNUMBER(J10)=TRUE),((COUNT(F$2:F$13)+1-RANK(F10,$F$2:$F$13,0)-RANK(F10,$F$2:$F$13,1))/2)+RANK(F10,$F$2:$F$13,0)+1,IF(ISNUMBER(F10)=TRUE,((COUNT(F$2:F$13)+1-RANK(F10,$F$2:$F$13,0)-RANK(F10,$F$2:$F$13,1))/2)+RANK(F10,$F$2:$F$13,0),"")))</f>
      </c>
      <c r="C10" s="55">
        <f>IF(AND(ISNUMBER('Prijava ekipa i izvlačenje br.'!A10)=TRUE,COUNTIF(E10,"")=0),'Prijava ekipa i izvlačenje br.'!A10,IF(AND(ISNUMBER('Prijava ekipa i izvlačenje br.'!F10)=TRUE,COUNTIF('Prijava ekipa i izvlačenje br.'!$E10,"E")=1),'Prijava ekipa i izvlačenje br.'!F10,IF(AND(ISNUMBER('Prijava ekipa i izvlačenje br.'!I10)=TRUE,COUNTIF('Prijava ekipa i izvlačenje br.'!$H10,"E")=1),'Prijava ekipa i izvlačenje br.'!I10,IF(AND(ISNUMBER('Prijava ekipa i izvlačenje br.'!L10)=TRUE,COUNTIF('Prijava ekipa i izvlačenje br.'!$K10,"E")=1),'Prijava ekipa i izvlačenje br.'!L10,IF(AND(ISNUMBER('Prijava ekipa i izvlačenje br.'!O10)=TRUE,COUNTIF('Prijava ekipa i izvlačenje br.'!$N10,"E")=1),'Prijava ekipa i izvlačenje br.'!O10,IF(AND(ISNUMBER('Prijava ekipa i izvlačenje br.'!R10)=TRUE,COUNTIF('Prijava ekipa i izvlačenje br.'!$Q10,"E")=1),'Prijava ekipa i izvlačenje br.'!R10,""))))))</f>
      </c>
      <c r="D10" s="8">
        <f>IF(ISBLANK('Prijava ekipa i izvlačenje br.'!C10)=TRUE,"",'Prijava ekipa i izvlačenje br.'!C10)</f>
      </c>
      <c r="E10" s="8">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c>
      <c r="F10" s="422"/>
      <c r="G10" s="53">
        <f>VLOOKUP(D10,'Upis rezultata A sektora'!$D$2:$M$13,10,0)</f>
        <v>5</v>
      </c>
      <c r="H10" s="435">
        <f t="shared" si="0"/>
      </c>
      <c r="I10" s="435">
        <f t="shared" si="1"/>
      </c>
      <c r="J10" s="422"/>
      <c r="K10" s="460"/>
    </row>
    <row r="11" spans="1:11" ht="12.75">
      <c r="A11" s="49"/>
      <c r="B11" s="54">
        <f>IF(AND(ISTEXT('Prijava ekipa i izvlačenje br.'!C11)=TRUE,ISNUMBER(F11)=FALSE,COUNTIF('Prijava ekipa i izvlačenje br.'!E11:'Prijava ekipa i izvlačenje br.'!Q11,"E")=0),COUNTA(D$2:D$13)-COUNTIF(D$2:D$13,"")+1,IF(AND(ISNUMBER(F11)=TRUE,ISNUMBER(J11)=TRUE),((COUNT(F$2:F$13)+1-RANK(F11,$F$2:$F$13,0)-RANK(F11,$F$2:$F$13,1))/2)+RANK(F11,$F$2:$F$13,0)+1,IF(ISNUMBER(F11)=TRUE,((COUNT(F$2:F$13)+1-RANK(F11,$F$2:$F$13,0)-RANK(F11,$F$2:$F$13,1))/2)+RANK(F11,$F$2:$F$13,0),"")))</f>
      </c>
      <c r="C11" s="55">
        <f>IF(AND(ISNUMBER('Prijava ekipa i izvlačenje br.'!A11)=TRUE,COUNTIF(E11,"")=0),'Prijava ekipa i izvlačenje br.'!A11,IF(AND(ISNUMBER('Prijava ekipa i izvlačenje br.'!F11)=TRUE,COUNTIF('Prijava ekipa i izvlačenje br.'!$E11,"E")=1),'Prijava ekipa i izvlačenje br.'!F11,IF(AND(ISNUMBER('Prijava ekipa i izvlačenje br.'!I11)=TRUE,COUNTIF('Prijava ekipa i izvlačenje br.'!$H11,"E")=1),'Prijava ekipa i izvlačenje br.'!I11,IF(AND(ISNUMBER('Prijava ekipa i izvlačenje br.'!L11)=TRUE,COUNTIF('Prijava ekipa i izvlačenje br.'!$K11,"E")=1),'Prijava ekipa i izvlačenje br.'!L11,IF(AND(ISNUMBER('Prijava ekipa i izvlačenje br.'!O11)=TRUE,COUNTIF('Prijava ekipa i izvlačenje br.'!$N11,"E")=1),'Prijava ekipa i izvlačenje br.'!O11,IF(AND(ISNUMBER('Prijava ekipa i izvlačenje br.'!R11)=TRUE,COUNTIF('Prijava ekipa i izvlačenje br.'!$Q11,"E")=1),'Prijava ekipa i izvlačenje br.'!R11,""))))))</f>
      </c>
      <c r="D11" s="8">
        <f>IF(ISBLANK('Prijava ekipa i izvlačenje br.'!C11)=TRUE,"",'Prijava ekipa i izvlačenje br.'!C11)</f>
      </c>
      <c r="E11" s="8">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c>
      <c r="F11" s="422"/>
      <c r="G11" s="53">
        <f>VLOOKUP(D11,'Upis rezultata A sektora'!$D$2:$M$13,10,0)</f>
        <v>5</v>
      </c>
      <c r="H11" s="435">
        <f t="shared" si="0"/>
      </c>
      <c r="I11" s="435">
        <f t="shared" si="1"/>
      </c>
      <c r="J11" s="422"/>
      <c r="K11" s="460"/>
    </row>
    <row r="12" spans="1:11" ht="12.75">
      <c r="A12" s="49"/>
      <c r="B12" s="54">
        <f>IF(AND(ISTEXT('Prijava ekipa i izvlačenje br.'!C12)=TRUE,ISNUMBER(F12)=FALSE,COUNTIF('Prijava ekipa i izvlačenje br.'!E12:'Prijava ekipa i izvlačenje br.'!Q12,"E")=0),COUNTA(D$2:D$13)-COUNTIF(D$2:D$13,"")+1,IF(AND(ISNUMBER(F12)=TRUE,ISNUMBER(J12)=TRUE),((COUNT(F$2:F$13)+1-RANK(F12,$F$2:$F$13,0)-RANK(F12,$F$2:$F$13,1))/2)+RANK(F12,$F$2:$F$13,0)+1,IF(ISNUMBER(F12)=TRUE,((COUNT(F$2:F$13)+1-RANK(F12,$F$2:$F$13,0)-RANK(F12,$F$2:$F$13,1))/2)+RANK(F12,$F$2:$F$13,0),"")))</f>
      </c>
      <c r="C12" s="55">
        <f>IF(AND(ISNUMBER('Prijava ekipa i izvlačenje br.'!A12)=TRUE,COUNTIF(E12,"")=0),'Prijava ekipa i izvlačenje br.'!A12,IF(AND(ISNUMBER('Prijava ekipa i izvlačenje br.'!F12)=TRUE,COUNTIF('Prijava ekipa i izvlačenje br.'!$E12,"E")=1),'Prijava ekipa i izvlačenje br.'!F12,IF(AND(ISNUMBER('Prijava ekipa i izvlačenje br.'!I12)=TRUE,COUNTIF('Prijava ekipa i izvlačenje br.'!$H12,"E")=1),'Prijava ekipa i izvlačenje br.'!I12,IF(AND(ISNUMBER('Prijava ekipa i izvlačenje br.'!L12)=TRUE,COUNTIF('Prijava ekipa i izvlačenje br.'!$K12,"E")=1),'Prijava ekipa i izvlačenje br.'!L12,IF(AND(ISNUMBER('Prijava ekipa i izvlačenje br.'!O12)=TRUE,COUNTIF('Prijava ekipa i izvlačenje br.'!$N12,"E")=1),'Prijava ekipa i izvlačenje br.'!O12,IF(AND(ISNUMBER('Prijava ekipa i izvlačenje br.'!R12)=TRUE,COUNTIF('Prijava ekipa i izvlačenje br.'!$Q12,"E")=1),'Prijava ekipa i izvlačenje br.'!R12,""))))))</f>
      </c>
      <c r="D12" s="8">
        <f>IF(ISBLANK('Prijava ekipa i izvlačenje br.'!C12)=TRUE,"",'Prijava ekipa i izvlačenje br.'!C12)</f>
      </c>
      <c r="E12" s="8">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c>
      <c r="F12" s="422"/>
      <c r="G12" s="53">
        <f>VLOOKUP(D12,'Upis rezultata A sektora'!$D$2:$M$13,10,0)</f>
        <v>5</v>
      </c>
      <c r="H12" s="435">
        <f t="shared" si="0"/>
      </c>
      <c r="I12" s="435">
        <f t="shared" si="1"/>
      </c>
      <c r="J12" s="422"/>
      <c r="K12" s="460"/>
    </row>
    <row r="13" spans="1:11" ht="13.5" thickBot="1">
      <c r="A13" s="431"/>
      <c r="B13" s="425">
        <f>IF(AND(ISTEXT('Prijava ekipa i izvlačenje br.'!C13)=TRUE,ISNUMBER(F13)=FALSE,COUNTIF('Prijava ekipa i izvlačenje br.'!E13:'Prijava ekipa i izvlačenje br.'!Q13,"E")=0),COUNTA(D$2:D$13)-COUNTIF(D$2:D$13,"")+1,IF(AND(ISNUMBER(F13)=TRUE,ISNUMBER(J13)=TRUE),((COUNT(F$2:F$13)+1-RANK(F13,$F$2:$F$13,0)-RANK(F13,$F$2:$F$13,1))/2)+RANK(F13,$F$2:$F$13,0)+1,IF(ISNUMBER(F13)=TRUE,((COUNT(F$2:F$13)+1-RANK(F13,$F$2:$F$13,0)-RANK(F13,$F$2:$F$13,1))/2)+RANK(F13,$F$2:$F$13,0),"")))</f>
      </c>
      <c r="C13" s="426">
        <f>IF(AND(ISNUMBER('Prijava ekipa i izvlačenje br.'!A13)=TRUE,COUNTIF(E13,"")=0),'Prijava ekipa i izvlačenje br.'!A13,IF(AND(ISNUMBER('Prijava ekipa i izvlačenje br.'!F13)=TRUE,COUNTIF('Prijava ekipa i izvlačenje br.'!$E13,"E")=1),'Prijava ekipa i izvlačenje br.'!F13,IF(AND(ISNUMBER('Prijava ekipa i izvlačenje br.'!I13)=TRUE,COUNTIF('Prijava ekipa i izvlačenje br.'!$H13,"E")=1),'Prijava ekipa i izvlačenje br.'!I13,IF(AND(ISNUMBER('Prijava ekipa i izvlačenje br.'!L13)=TRUE,COUNTIF('Prijava ekipa i izvlačenje br.'!$K13,"E")=1),'Prijava ekipa i izvlačenje br.'!L13,IF(AND(ISNUMBER('Prijava ekipa i izvlačenje br.'!O13)=TRUE,COUNTIF('Prijava ekipa i izvlačenje br.'!$N13,"E")=1),'Prijava ekipa i izvlačenje br.'!O13,IF(AND(ISNUMBER('Prijava ekipa i izvlačenje br.'!R13)=TRUE,COUNTIF('Prijava ekipa i izvlačenje br.'!$Q13,"E")=1),'Prijava ekipa i izvlačenje br.'!R13,""))))))</f>
      </c>
      <c r="D13" s="433">
        <f>IF(ISBLANK('Prijava ekipa i izvlačenje br.'!C13)=TRUE,"",'Prijava ekipa i izvlačenje br.'!C13)</f>
      </c>
      <c r="E13" s="433">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c>
      <c r="F13" s="428"/>
      <c r="G13" s="434">
        <f>VLOOKUP(D13,'Upis rezultata A sektora'!$D$2:$M$13,10,0)</f>
        <v>5</v>
      </c>
      <c r="H13" s="436">
        <f t="shared" si="0"/>
      </c>
      <c r="I13" s="436">
        <f t="shared" si="1"/>
      </c>
      <c r="J13" s="428"/>
      <c r="K13" s="460"/>
    </row>
  </sheetData>
  <sheetProtection password="C7E2" sheet="1" objects="1" scenarios="1"/>
  <printOptions/>
  <pageMargins left="0.75" right="0.75" top="1" bottom="1" header="0.5" footer="0.5"/>
  <pageSetup horizontalDpi="300" verticalDpi="300" orientation="portrait" paperSize="9" r:id="rId4"/>
  <headerFooter alignWithMargins="0">
    <oddFooter>&amp;C&amp;"Arial,Kurziv"&amp;11&amp;XProgram za izračun rezultata i provođenje natjecanja</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22">
    <tabColor indexed="11"/>
  </sheetPr>
  <dimension ref="C3:S58"/>
  <sheetViews>
    <sheetView showGridLines="0" showRowColHeaders="0" zoomScale="75" zoomScaleNormal="75" zoomScalePageLayoutView="0" workbookViewId="0" topLeftCell="A7">
      <selection activeCell="T61" sqref="T61"/>
    </sheetView>
  </sheetViews>
  <sheetFormatPr defaultColWidth="9.140625" defaultRowHeight="12.75"/>
  <cols>
    <col min="1" max="1" width="5.57421875" style="6" customWidth="1"/>
    <col min="2" max="2" width="9.140625" style="6" customWidth="1"/>
    <col min="3" max="3" width="5.140625" style="7" customWidth="1"/>
    <col min="4" max="4" width="25.7109375" style="6" customWidth="1"/>
    <col min="5" max="5" width="8.57421875" style="7" customWidth="1"/>
    <col min="6" max="6" width="11.7109375" style="82" customWidth="1"/>
    <col min="7" max="7" width="9.140625" style="126" customWidth="1"/>
    <col min="8" max="8" width="9.140625" style="7" customWidth="1"/>
    <col min="9" max="9" width="4.8515625" style="56" customWidth="1"/>
    <col min="10" max="10" width="5.00390625" style="7" customWidth="1"/>
    <col min="11" max="11" width="4.421875" style="6" customWidth="1"/>
    <col min="12" max="12" width="5.140625" style="7" customWidth="1"/>
    <col min="13" max="13" width="25.7109375" style="6" customWidth="1"/>
    <col min="14" max="14" width="8.57421875" style="7" customWidth="1"/>
    <col min="15" max="15" width="11.7109375" style="82" customWidth="1"/>
    <col min="16" max="16" width="9.140625" style="126" customWidth="1"/>
    <col min="17" max="17" width="9.140625" style="7" customWidth="1"/>
    <col min="18" max="18" width="5.00390625" style="56" customWidth="1"/>
    <col min="19" max="19" width="4.8515625" style="7" customWidth="1"/>
    <col min="20" max="16384" width="9.140625" style="6" customWidth="1"/>
  </cols>
  <sheetData>
    <row r="1" ht="15"/>
    <row r="2" ht="15"/>
    <row r="3" ht="18">
      <c r="E3" s="81" t="s">
        <v>148</v>
      </c>
    </row>
    <row r="4" ht="18">
      <c r="E4" s="81" t="s">
        <v>149</v>
      </c>
    </row>
    <row r="5" ht="15"/>
    <row r="6" ht="15"/>
    <row r="7" ht="15"/>
    <row r="9" spans="3:19" s="107" customFormat="1" ht="26.25">
      <c r="C9" s="106" t="s">
        <v>119</v>
      </c>
      <c r="E9" s="108"/>
      <c r="F9" s="109"/>
      <c r="G9" s="124"/>
      <c r="H9" s="108"/>
      <c r="I9" s="108"/>
      <c r="J9" s="108"/>
      <c r="K9" s="193">
        <f>IF(ISNONTEXT('Organizacija natjecanja'!H2)=TRUE,"",'Organizacija natjecanja'!H2)</f>
      </c>
      <c r="L9" s="108"/>
      <c r="N9" s="108"/>
      <c r="O9" s="109"/>
      <c r="P9" s="124"/>
      <c r="Q9" s="108"/>
      <c r="R9" s="108"/>
      <c r="S9" s="108"/>
    </row>
    <row r="10" spans="3:19" s="80" customFormat="1" ht="23.25">
      <c r="C10" s="79" t="s">
        <v>120</v>
      </c>
      <c r="E10" s="178">
        <f>IF(ISNONTEXT('Organizacija natjecanja'!H4)=TRUE,"",'Organizacija natjecanja'!H4)</f>
      </c>
      <c r="F10" s="178"/>
      <c r="G10" s="178"/>
      <c r="H10" s="81"/>
      <c r="I10" s="179" t="s">
        <v>121</v>
      </c>
      <c r="J10" s="106">
        <f>IF(ISNONTEXT('Organizacija natjecanja'!H5)=TRUE,"",'Organizacija natjecanja'!H5)</f>
      </c>
      <c r="L10" s="81"/>
      <c r="N10" s="81"/>
      <c r="O10" s="111" t="s">
        <v>122</v>
      </c>
      <c r="P10" s="124"/>
      <c r="Q10" s="139">
        <f>IF(ISBLANK('Organizacija natjecanja'!$H$9)=TRUE,"",'Organizacija natjecanja'!$H$9)</f>
      </c>
      <c r="R10" s="81"/>
      <c r="S10" s="81"/>
    </row>
    <row r="11" ht="15.75" thickBot="1"/>
    <row r="12" spans="3:19" s="86" customFormat="1" ht="26.25" thickBot="1">
      <c r="C12" s="167" t="s">
        <v>76</v>
      </c>
      <c r="D12" s="192" t="s">
        <v>54</v>
      </c>
      <c r="E12" s="168" t="s">
        <v>22</v>
      </c>
      <c r="F12" s="169" t="s">
        <v>92</v>
      </c>
      <c r="G12" s="169" t="s">
        <v>72</v>
      </c>
      <c r="H12" s="169" t="s">
        <v>141</v>
      </c>
      <c r="I12" s="481" t="s">
        <v>81</v>
      </c>
      <c r="J12" s="482"/>
      <c r="K12" s="65"/>
      <c r="L12" s="170" t="s">
        <v>76</v>
      </c>
      <c r="M12" s="192" t="s">
        <v>54</v>
      </c>
      <c r="N12" s="169" t="s">
        <v>22</v>
      </c>
      <c r="O12" s="169" t="s">
        <v>92</v>
      </c>
      <c r="P12" s="169" t="s">
        <v>72</v>
      </c>
      <c r="Q12" s="169" t="s">
        <v>141</v>
      </c>
      <c r="R12" s="481" t="s">
        <v>81</v>
      </c>
      <c r="S12" s="482"/>
    </row>
    <row r="13" spans="3:19" s="68" customFormat="1" ht="16.5" thickBot="1">
      <c r="C13" s="31"/>
      <c r="E13" s="31"/>
      <c r="F13" s="120"/>
      <c r="G13" s="126"/>
      <c r="H13" s="31"/>
      <c r="I13" s="104"/>
      <c r="J13" s="31"/>
      <c r="L13" s="31"/>
      <c r="N13" s="31"/>
      <c r="O13" s="120"/>
      <c r="P13" s="126"/>
      <c r="Q13" s="31"/>
      <c r="R13" s="104"/>
      <c r="S13" s="31"/>
    </row>
    <row r="14" spans="3:19" s="68" customFormat="1" ht="15" customHeight="1">
      <c r="C14" s="180">
        <f>IF(ISNUMBER(E14)=TRUE,VLOOKUP(C19,'Upis rezultata A sektora'!$D$2:$I$13,6,0),"")</f>
      </c>
      <c r="D14" s="181">
        <f>IF(ISNUMBER(I14)=TRUE,VLOOKUP(C19,'Upis rezultata A sektora'!$D$2:$E$13,2,FALSE),"")</f>
      </c>
      <c r="E14" s="182">
        <f>IF(ISNUMBER(I14)=TRUE,VLOOKUP(D14,'Upis rezultata A sektora'!$E$2:$G$13,3,FALSE),"")</f>
      </c>
      <c r="F14" s="183">
        <f>IF(ISNUMBER(E14)=TRUE,VLOOKUP(D14,'Upis rezultata A sektora'!$E$2:$G$13,2,FALSE),"")</f>
      </c>
      <c r="G14" s="184">
        <f>IF(ISNUMBER(I14)=TRUE,VLOOKUP(C19,'Upis rezultata A sektora'!$D$2:$H$13,5,FALSE),"")</f>
      </c>
      <c r="H14" s="184">
        <f>IF(ISBLANK(D14)=TRUE,"",IF(ISNUMBER(I14)=TRUE,VLOOKUP(D14,'Pojedinačni plasman'!$A$6:$G$65,7,FALSE),""))</f>
      </c>
      <c r="I14" s="475">
        <f>VLOOKUP(C19,'Ekipni plasman'!$B$6:$F$17,5,FALSE)</f>
      </c>
      <c r="J14" s="476"/>
      <c r="L14" s="180">
        <f>IF(ISNUMBER(N14)=TRUE,VLOOKUP(L19,'Upis rezultata A sektora'!$D$2:$I$13,6,0),"")</f>
      </c>
      <c r="M14" s="181">
        <f>IF(ISNUMBER(R14)=TRUE,VLOOKUP(L19,'Upis rezultata A sektora'!$D$2:$E$13,2,FALSE),"")</f>
      </c>
      <c r="N14" s="182">
        <f>IF(ISNUMBER(R14)=TRUE,VLOOKUP(M14,'Upis rezultata A sektora'!$E$2:$G$13,3,FALSE),"")</f>
      </c>
      <c r="O14" s="183">
        <f>IF(ISNUMBER(N14)=TRUE,VLOOKUP(M14,'Upis rezultata A sektora'!$E$2:$G$13,2,FALSE),"")</f>
      </c>
      <c r="P14" s="184">
        <f>IF(ISNUMBER(R14)=TRUE,VLOOKUP(L19,'Upis rezultata A sektora'!$D$2:$H$13,5,FALSE),"")</f>
      </c>
      <c r="Q14" s="184">
        <f>IF(ISBLANK(M14)=TRUE,"",IF(ISNUMBER(R14)=TRUE,VLOOKUP(M14,'Pojedinačni plasman'!$A$6:$G$65,7,FALSE),""))</f>
      </c>
      <c r="R14" s="475">
        <f>VLOOKUP(L19,'Ekipni plasman'!$B$6:$F$17,5,FALSE)</f>
      </c>
      <c r="S14" s="476"/>
    </row>
    <row r="15" spans="3:19" s="68" customFormat="1" ht="15.75" customHeight="1">
      <c r="C15" s="185">
        <f>IF(ISNUMBER(E15)=TRUE,VLOOKUP(C19,'Upis rezultata B sektora'!$D$2:$G$13,4,0),"")</f>
      </c>
      <c r="D15" s="186">
        <f>IF(ISNUMBER(I14)=TRUE,VLOOKUP(C19,'Upis rezultata B sektora'!$D$2:$E$13,2,FALSE),"")</f>
      </c>
      <c r="E15" s="187">
        <f>IF(ISNUMBER(I14)=TRUE,VLOOKUP(D15,'Upis rezultata B sektora'!$E$2:$I$13,5,FALSE),"")</f>
      </c>
      <c r="F15" s="188">
        <f>IF(ISNUMBER(E15)=TRUE,VLOOKUP(D15,'Upis rezultata B sektora'!$E$2:$G$13,2,FALSE),"")</f>
      </c>
      <c r="G15" s="189">
        <f>IF(ISNUMBER(I14)=TRUE,VLOOKUP(C19,'Upis rezultata B sektora'!$D$2:$H$13,5,FALSE),"")</f>
      </c>
      <c r="H15" s="189">
        <f>IF(ISBLANK(D15)=TRUE,"",IF(ISNUMBER(I14)=TRUE,VLOOKUP(D15,'Pojedinačni plasman'!$A$6:$G$65,7,FALSE),""))</f>
      </c>
      <c r="I15" s="477"/>
      <c r="J15" s="478"/>
      <c r="L15" s="185">
        <f>IF(ISNUMBER(N15)=TRUE,VLOOKUP(L19,'Upis rezultata B sektora'!$D$2:$G$13,4,0),"")</f>
      </c>
      <c r="M15" s="186">
        <f>IF(ISNUMBER(R14)=TRUE,VLOOKUP(L19,'Upis rezultata B sektora'!$D$2:$E$13,2,FALSE),"")</f>
      </c>
      <c r="N15" s="187">
        <f>IF(ISNUMBER(R14)=TRUE,VLOOKUP(M15,'Upis rezultata B sektora'!$E$2:$I$13,5,FALSE),"")</f>
      </c>
      <c r="O15" s="188">
        <f>IF(ISNUMBER(N15)=TRUE,VLOOKUP(M15,'Upis rezultata B sektora'!$E$2:$G$13,2,FALSE),"")</f>
      </c>
      <c r="P15" s="189">
        <f>IF(ISNUMBER(R14)=TRUE,VLOOKUP(L19,'Upis rezultata B sektora'!$D$2:$H$13,5,FALSE),"")</f>
      </c>
      <c r="Q15" s="189">
        <f>IF(ISBLANK(M15)=TRUE,"",IF(ISNUMBER(R14)=TRUE,VLOOKUP(M15,'Pojedinačni plasman'!$A$6:$G$65,7,FALSE),""))</f>
      </c>
      <c r="R15" s="477"/>
      <c r="S15" s="478"/>
    </row>
    <row r="16" spans="3:19" s="68" customFormat="1" ht="15.75" customHeight="1">
      <c r="C16" s="185">
        <f>IF(ISNUMBER(E16)=TRUE,VLOOKUP(C19,'Upis rezultata C sektora'!$D$2:$G$13,4,0),"")</f>
      </c>
      <c r="D16" s="186">
        <f>IF(ISNUMBER(I14)=TRUE,VLOOKUP(C19,'Upis rezultata C sektora'!$D$2:$E$13,2,FALSE),"")</f>
      </c>
      <c r="E16" s="187">
        <f>IF(ISNUMBER(I14)=TRUE,VLOOKUP(D16,'Upis rezultata C sektora'!$E$2:$I$13,5,FALSE),"")</f>
      </c>
      <c r="F16" s="188">
        <f>IF(ISNUMBER(E16)=TRUE,VLOOKUP(D16,'Upis rezultata C sektora'!$E$2:$G$13,2,FALSE),"")</f>
      </c>
      <c r="G16" s="189">
        <f>IF(ISNUMBER(I14)=TRUE,VLOOKUP(C19,'Upis rezultata C sektora'!$D$2:$H$13,5,FALSE),"")</f>
      </c>
      <c r="H16" s="189">
        <f>IF(ISBLANK(D16)=TRUE,"",IF(ISNUMBER(I14)=TRUE,VLOOKUP(D16,'Pojedinačni plasman'!$A$6:$G$65,7,FALSE),""))</f>
      </c>
      <c r="I16" s="477"/>
      <c r="J16" s="478"/>
      <c r="L16" s="185">
        <f>IF(ISNUMBER(N16)=TRUE,VLOOKUP(L19,'Upis rezultata C sektora'!$D$2:$G$13,4,0),"")</f>
      </c>
      <c r="M16" s="186">
        <f>IF(ISNUMBER(R14)=TRUE,VLOOKUP(L19,'Upis rezultata C sektora'!$D$2:$E$13,2,FALSE),"")</f>
      </c>
      <c r="N16" s="187">
        <f>IF(ISNUMBER(R14)=TRUE,VLOOKUP(M16,'Upis rezultata C sektora'!$E$2:$I$13,5,FALSE),"")</f>
      </c>
      <c r="O16" s="188">
        <f>IF(ISNUMBER(N16)=TRUE,VLOOKUP(M16,'Upis rezultata C sektora'!$E$2:$G$13,2,FALSE),"")</f>
      </c>
      <c r="P16" s="189">
        <f>IF(ISNUMBER(R14)=TRUE,VLOOKUP(L19,'Upis rezultata C sektora'!$D$2:$H$13,5,FALSE),"")</f>
      </c>
      <c r="Q16" s="189">
        <f>IF(ISBLANK(M16)=TRUE,"",IF(ISNUMBER(R14)=TRUE,VLOOKUP(M16,'Pojedinačni plasman'!$A$6:$G$65,7,FALSE),""))</f>
      </c>
      <c r="R16" s="477"/>
      <c r="S16" s="478"/>
    </row>
    <row r="17" spans="3:19" s="68" customFormat="1" ht="15.75" customHeight="1">
      <c r="C17" s="185">
        <f>IF(ISNUMBER(E17)=TRUE,VLOOKUP(C19,'Upis rezultata D sektora'!$D$2:$G$13,4,0),"")</f>
      </c>
      <c r="D17" s="186">
        <f>IF(ISNUMBER(I14)=TRUE,VLOOKUP(C19,'Upis rezultata D sektora'!$D$2:$E$13,2,FALSE),"")</f>
      </c>
      <c r="E17" s="187">
        <f>IF(ISNUMBER(I14)=TRUE,VLOOKUP(D17,'Upis rezultata D sektora'!$E$2:$I$13,5,FALSE),"")</f>
      </c>
      <c r="F17" s="188">
        <f>IF(ISNUMBER(E17)=TRUE,VLOOKUP(D17,'Upis rezultata D sektora'!$E$2:$G$13,2,FALSE),"")</f>
      </c>
      <c r="G17" s="189">
        <f>IF(ISNUMBER(I14)=TRUE,VLOOKUP(C19,'Upis rezultata D sektora'!$D$2:$H$13,5,FALSE),"")</f>
      </c>
      <c r="H17" s="189">
        <f>IF(ISBLANK(D17)=TRUE,"",IF(ISNUMBER(I14)=TRUE,VLOOKUP(D17,'Pojedinačni plasman'!$A$6:$G$65,7,FALSE),""))</f>
      </c>
      <c r="I17" s="477"/>
      <c r="J17" s="478"/>
      <c r="L17" s="185">
        <f>IF(ISNUMBER(N17)=TRUE,VLOOKUP(L19,'Upis rezultata D sektora'!$D$2:$G$13,4,0),"")</f>
      </c>
      <c r="M17" s="186">
        <f>IF(ISNUMBER(R14)=TRUE,VLOOKUP(L19,'Upis rezultata D sektora'!$D$2:$E$13,2,FALSE),"")</f>
      </c>
      <c r="N17" s="187">
        <f>IF(ISNUMBER(R14)=TRUE,VLOOKUP(M17,'Upis rezultata D sektora'!$E$2:$I$13,5,FALSE),"")</f>
      </c>
      <c r="O17" s="188">
        <f>IF(ISNUMBER(N17)=TRUE,VLOOKUP(M17,'Upis rezultata D sektora'!$E$2:$G$13,2,FALSE),"")</f>
      </c>
      <c r="P17" s="189">
        <f>IF(ISNUMBER(R14)=TRUE,VLOOKUP(L19,'Upis rezultata D sektora'!$D$2:$H$13,5,FALSE),"")</f>
      </c>
      <c r="Q17" s="189">
        <f>IF(ISBLANK(M17)=TRUE,"",IF(ISNUMBER(R14)=TRUE,VLOOKUP(M17,'Pojedinačni plasman'!$A$6:$G$65,7,FALSE),""))</f>
      </c>
      <c r="R17" s="477"/>
      <c r="S17" s="478"/>
    </row>
    <row r="18" spans="3:19" s="68" customFormat="1" ht="15.75" customHeight="1">
      <c r="C18" s="185">
        <f>IF(ISNUMBER(E18)=TRUE,VLOOKUP(C19,'Upis rezultata E sektora'!$D$2:$G$13,4,0),"")</f>
      </c>
      <c r="D18" s="186">
        <f>IF(ISNUMBER(I14)=TRUE,VLOOKUP(C19,'Upis rezultata E sektora'!$D$2:$E$13,2,FALSE),"")</f>
      </c>
      <c r="E18" s="187">
        <f>IF(ISNUMBER(I14)=TRUE,VLOOKUP(D18,'Upis rezultata E sektora'!$E$2:$I$13,5,FALSE),"")</f>
      </c>
      <c r="F18" s="188">
        <f>IF(ISNUMBER(E18)=TRUE,VLOOKUP(D18,'Upis rezultata E sektora'!$E$2:$G$13,2,FALSE),"")</f>
      </c>
      <c r="G18" s="189">
        <f>IF(ISNUMBER(I14)=TRUE,VLOOKUP(C19,'Upis rezultata E sektora'!$D$2:$H$13,5,FALSE),"")</f>
      </c>
      <c r="H18" s="189">
        <f>IF(ISBLANK(D18)=TRUE,"",IF(ISNUMBER(I14)=TRUE,VLOOKUP(D18,'Pojedinačni plasman'!$A$6:$G$65,7,FALSE),""))</f>
      </c>
      <c r="I18" s="477"/>
      <c r="J18" s="478"/>
      <c r="L18" s="185">
        <f>IF(ISNUMBER(N18)=TRUE,VLOOKUP(L19,'Upis rezultata E sektora'!$D$2:$G$13,4,0),"")</f>
      </c>
      <c r="M18" s="186">
        <f>IF(ISNUMBER(R14)=TRUE,VLOOKUP(L19,'Upis rezultata E sektora'!$D$2:$E$13,2,FALSE),"")</f>
      </c>
      <c r="N18" s="187">
        <f>IF(ISNUMBER(R14)=TRUE,VLOOKUP(M18,'Upis rezultata E sektora'!$E$2:$I$13,5,FALSE),"")</f>
      </c>
      <c r="O18" s="188">
        <f>IF(ISNUMBER(N18)=TRUE,VLOOKUP(M18,'Upis rezultata E sektora'!$E$2:$G$13,2,FALSE),"")</f>
      </c>
      <c r="P18" s="189">
        <f>IF(ISNUMBER(R14)=TRUE,VLOOKUP(L19,'Upis rezultata E sektora'!$D$2:$H$13,5,FALSE),"")</f>
      </c>
      <c r="Q18" s="189">
        <f>IF(ISBLANK(M18)=TRUE,"",IF(ISNUMBER(R14)=TRUE,VLOOKUP(M18,'Pojedinačni plasman'!$A$6:$G$65,7,FALSE),""))</f>
      </c>
      <c r="R18" s="477"/>
      <c r="S18" s="478"/>
    </row>
    <row r="19" spans="3:19" s="83" customFormat="1" ht="21" thickBot="1">
      <c r="C19" s="472">
        <f>IF(ISNONTEXT('Ekipni plasman'!$B$6)=TRUE,"",'Ekipni plasman'!$B$6)</f>
      </c>
      <c r="D19" s="473"/>
      <c r="E19" s="474"/>
      <c r="F19" s="190">
        <f>VLOOKUP(C19,'Ekipni plasman'!$B$6:$F$17,3,FALSE)</f>
      </c>
      <c r="G19" s="351">
        <f>VLOOKUP(C19,'Ekipni plasman'!$B$6:$F$17,2,FALSE)</f>
      </c>
      <c r="H19" s="171"/>
      <c r="I19" s="479"/>
      <c r="J19" s="480"/>
      <c r="L19" s="472">
        <f>IF(ISNONTEXT('Ekipni plasman'!$B$12)=TRUE,"",'Ekipni plasman'!$B$12)</f>
      </c>
      <c r="M19" s="473"/>
      <c r="N19" s="474"/>
      <c r="O19" s="190">
        <f>VLOOKUP(L19,'Ekipni plasman'!$B$6:$F$17,3,FALSE)</f>
      </c>
      <c r="P19" s="351">
        <f>VLOOKUP(L19,'Ekipni plasman'!$B$6:$F$17,2,FALSE)</f>
      </c>
      <c r="Q19" s="171"/>
      <c r="R19" s="479"/>
      <c r="S19" s="480"/>
    </row>
    <row r="20" ht="15.75" thickBot="1"/>
    <row r="21" spans="3:19" s="68" customFormat="1" ht="15" customHeight="1">
      <c r="C21" s="180">
        <f>IF(ISNUMBER(E21)=TRUE,VLOOKUP(C26,'Upis rezultata A sektora'!$D$2:$I$13,6,0),"")</f>
      </c>
      <c r="D21" s="181">
        <f>IF(ISNUMBER(I21)=TRUE,VLOOKUP(C26,'Upis rezultata A sektora'!$D$2:$E$13,2,FALSE),"")</f>
      </c>
      <c r="E21" s="182">
        <f>IF(ISNUMBER(I21)=TRUE,VLOOKUP(D21,'Upis rezultata A sektora'!$E$2:$G$13,3,FALSE),"")</f>
      </c>
      <c r="F21" s="183">
        <f>IF(ISNUMBER(E21)=TRUE,VLOOKUP(D21,'Upis rezultata A sektora'!$E$2:$G$13,2,FALSE),"")</f>
      </c>
      <c r="G21" s="184">
        <f>IF(ISNUMBER(I21)=TRUE,VLOOKUP(C26,'Upis rezultata A sektora'!$D$2:$H$13,5,FALSE),"")</f>
      </c>
      <c r="H21" s="184">
        <f>IF(ISBLANK(D21)=TRUE,"",IF(ISNUMBER(I21)=TRUE,VLOOKUP(D21,'Pojedinačni plasman'!$A$6:$G$65,7,FALSE),""))</f>
      </c>
      <c r="I21" s="475">
        <f>VLOOKUP(C26,'Ekipni plasman'!$B$6:$F$17,5,FALSE)</f>
      </c>
      <c r="J21" s="476"/>
      <c r="L21" s="180">
        <f>IF(ISNUMBER(N21)=TRUE,VLOOKUP(L26,'Upis rezultata A sektora'!$D$2:$I$13,6,0),"")</f>
      </c>
      <c r="M21" s="181">
        <f>IF(ISNUMBER(R21)=TRUE,VLOOKUP(L26,'Upis rezultata A sektora'!$D$2:$E$13,2,FALSE),"")</f>
      </c>
      <c r="N21" s="182">
        <f>IF(ISNUMBER(R21)=TRUE,VLOOKUP(M21,'Upis rezultata A sektora'!$E$2:$G$13,3,FALSE),"")</f>
      </c>
      <c r="O21" s="183">
        <f>IF(ISNUMBER(N21)=TRUE,VLOOKUP(M21,'Upis rezultata A sektora'!$E$2:$G$13,2,FALSE),"")</f>
      </c>
      <c r="P21" s="184">
        <f>IF(ISNUMBER(R21)=TRUE,VLOOKUP(L26,'Upis rezultata A sektora'!$D$2:$H$13,5,FALSE),"")</f>
      </c>
      <c r="Q21" s="184">
        <f>IF(ISBLANK(M21)=TRUE,"",IF(ISNUMBER(R21)=TRUE,VLOOKUP(M21,'Pojedinačni plasman'!$A$6:$G$65,7,FALSE),""))</f>
      </c>
      <c r="R21" s="475">
        <f>VLOOKUP(L26,'Ekipni plasman'!$B$6:$F$17,5,FALSE)</f>
      </c>
      <c r="S21" s="476"/>
    </row>
    <row r="22" spans="3:19" s="68" customFormat="1" ht="15.75" customHeight="1">
      <c r="C22" s="185">
        <f>IF(ISNUMBER(E22)=TRUE,VLOOKUP(C26,'Upis rezultata B sektora'!$D$2:$G$13,4,0),"")</f>
      </c>
      <c r="D22" s="186">
        <f>IF(ISNUMBER(I21)=TRUE,VLOOKUP(C26,'Upis rezultata B sektora'!$D$2:$E$13,2,FALSE),"")</f>
      </c>
      <c r="E22" s="187">
        <f>IF(ISNUMBER(I21)=TRUE,VLOOKUP(D22,'Upis rezultata B sektora'!$E$2:$I$13,5,FALSE),"")</f>
      </c>
      <c r="F22" s="188">
        <f>IF(ISNUMBER(E22)=TRUE,VLOOKUP(D22,'Upis rezultata B sektora'!$E$2:$G$13,2,FALSE),"")</f>
      </c>
      <c r="G22" s="189">
        <f>IF(ISNUMBER(I21)=TRUE,VLOOKUP(C26,'Upis rezultata B sektora'!$D$2:$H$13,5,FALSE),"")</f>
      </c>
      <c r="H22" s="189">
        <f>IF(ISBLANK(D22)=TRUE,"",IF(ISNUMBER(I21)=TRUE,VLOOKUP(D22,'Pojedinačni plasman'!$A$6:$G$65,7,FALSE),""))</f>
      </c>
      <c r="I22" s="477"/>
      <c r="J22" s="478"/>
      <c r="L22" s="185">
        <f>IF(ISNUMBER(N22)=TRUE,VLOOKUP(L26,'Upis rezultata B sektora'!$D$2:$G$13,4,0),"")</f>
      </c>
      <c r="M22" s="186">
        <f>IF(ISNUMBER(R21)=TRUE,VLOOKUP(L26,'Upis rezultata B sektora'!$D$2:$E$13,2,FALSE),"")</f>
      </c>
      <c r="N22" s="187">
        <f>IF(ISNUMBER(R21)=TRUE,VLOOKUP(M22,'Upis rezultata B sektora'!$E$2:$I$13,5,FALSE),"")</f>
      </c>
      <c r="O22" s="188">
        <f>IF(ISNUMBER(N22)=TRUE,VLOOKUP(M22,'Upis rezultata B sektora'!$E$2:$G$13,2,FALSE),"")</f>
      </c>
      <c r="P22" s="189">
        <f>IF(ISNUMBER(R21)=TRUE,VLOOKUP(L26,'Upis rezultata B sektora'!$D$2:$H$13,5,FALSE),"")</f>
      </c>
      <c r="Q22" s="189">
        <f>IF(ISBLANK(M22)=TRUE,"",IF(ISNUMBER(R21)=TRUE,VLOOKUP(M22,'Pojedinačni plasman'!$A$6:$G$65,7,FALSE),""))</f>
      </c>
      <c r="R22" s="477"/>
      <c r="S22" s="478"/>
    </row>
    <row r="23" spans="3:19" s="68" customFormat="1" ht="15.75" customHeight="1">
      <c r="C23" s="185">
        <f>IF(ISNUMBER(E23)=TRUE,VLOOKUP(C26,'Upis rezultata C sektora'!$D$2:$G$13,4,0),"")</f>
      </c>
      <c r="D23" s="186">
        <f>IF(ISNUMBER(I21)=TRUE,VLOOKUP(C26,'Upis rezultata C sektora'!$D$2:$E$13,2,FALSE),"")</f>
      </c>
      <c r="E23" s="187">
        <f>IF(ISNUMBER(I21)=TRUE,VLOOKUP(D23,'Upis rezultata C sektora'!$E$2:$I$13,5,FALSE),"")</f>
      </c>
      <c r="F23" s="188">
        <f>IF(ISNUMBER(E23)=TRUE,VLOOKUP(D23,'Upis rezultata C sektora'!$E$2:$G$13,2,FALSE),"")</f>
      </c>
      <c r="G23" s="189">
        <f>IF(ISNUMBER(I21)=TRUE,VLOOKUP(C26,'Upis rezultata C sektora'!$D$2:$H$13,5,FALSE),"")</f>
      </c>
      <c r="H23" s="189">
        <f>IF(ISBLANK(D23)=TRUE,"",IF(ISNUMBER(I21)=TRUE,VLOOKUP(D23,'Pojedinačni plasman'!$A$6:$G$65,7,FALSE),""))</f>
      </c>
      <c r="I23" s="477"/>
      <c r="J23" s="478"/>
      <c r="L23" s="185">
        <f>IF(ISNUMBER(N23)=TRUE,VLOOKUP(L26,'Upis rezultata C sektora'!$D$2:$G$13,4,0),"")</f>
      </c>
      <c r="M23" s="186">
        <f>IF(ISNUMBER(R21)=TRUE,VLOOKUP(L26,'Upis rezultata C sektora'!$D$2:$E$13,2,FALSE),"")</f>
      </c>
      <c r="N23" s="187">
        <f>IF(ISNUMBER(R21)=TRUE,VLOOKUP(M23,'Upis rezultata C sektora'!$E$2:$I$13,5,FALSE),"")</f>
      </c>
      <c r="O23" s="188">
        <f>IF(ISNUMBER(N23)=TRUE,VLOOKUP(M23,'Upis rezultata C sektora'!$E$2:$G$13,2,FALSE),"")</f>
      </c>
      <c r="P23" s="189">
        <f>IF(ISNUMBER(R21)=TRUE,VLOOKUP(L26,'Upis rezultata C sektora'!$D$2:$H$13,5,FALSE),"")</f>
      </c>
      <c r="Q23" s="189">
        <f>IF(ISBLANK(M23)=TRUE,"",IF(ISNUMBER(R21)=TRUE,VLOOKUP(M23,'Pojedinačni plasman'!$A$6:$G$65,7,FALSE),""))</f>
      </c>
      <c r="R23" s="477"/>
      <c r="S23" s="478"/>
    </row>
    <row r="24" spans="3:19" s="68" customFormat="1" ht="15.75" customHeight="1">
      <c r="C24" s="185">
        <f>IF(ISNUMBER(E24)=TRUE,VLOOKUP(C26,'Upis rezultata D sektora'!$D$2:$G$13,4,0),"")</f>
      </c>
      <c r="D24" s="186">
        <f>IF(ISNUMBER(I21)=TRUE,VLOOKUP(C26,'Upis rezultata D sektora'!$D$2:$E$13,2,FALSE),"")</f>
      </c>
      <c r="E24" s="187">
        <f>IF(ISNUMBER(I21)=TRUE,VLOOKUP(D24,'Upis rezultata D sektora'!$E$2:$I$13,5,FALSE),"")</f>
      </c>
      <c r="F24" s="188">
        <f>IF(ISNUMBER(E24)=TRUE,VLOOKUP(D24,'Upis rezultata D sektora'!$E$2:$G$13,2,FALSE),"")</f>
      </c>
      <c r="G24" s="189">
        <f>IF(ISNUMBER(I21)=TRUE,VLOOKUP(C26,'Upis rezultata D sektora'!$D$2:$H$13,5,FALSE),"")</f>
      </c>
      <c r="H24" s="189">
        <f>IF(ISBLANK(D24)=TRUE,"",IF(ISNUMBER(I21)=TRUE,VLOOKUP(D24,'Pojedinačni plasman'!$A$6:$G$65,7,FALSE),""))</f>
      </c>
      <c r="I24" s="477"/>
      <c r="J24" s="478"/>
      <c r="L24" s="185">
        <f>IF(ISNUMBER(N24)=TRUE,VLOOKUP(L26,'Upis rezultata D sektora'!$D$2:$G$13,4,0),"")</f>
      </c>
      <c r="M24" s="186">
        <f>IF(ISNUMBER(R21)=TRUE,VLOOKUP(L26,'Upis rezultata D sektora'!$D$2:$E$13,2,FALSE),"")</f>
      </c>
      <c r="N24" s="187">
        <f>IF(ISNUMBER(R21)=TRUE,VLOOKUP(M24,'Upis rezultata D sektora'!$E$2:$I$13,5,FALSE),"")</f>
      </c>
      <c r="O24" s="188">
        <f>IF(ISNUMBER(N24)=TRUE,VLOOKUP(M24,'Upis rezultata D sektora'!$E$2:$G$13,2,FALSE),"")</f>
      </c>
      <c r="P24" s="189">
        <f>IF(ISNUMBER(R21)=TRUE,VLOOKUP(L26,'Upis rezultata D sektora'!$D$2:$H$13,5,FALSE),"")</f>
      </c>
      <c r="Q24" s="189">
        <f>IF(ISBLANK(M24)=TRUE,"",IF(ISNUMBER(R21)=TRUE,VLOOKUP(M24,'Pojedinačni plasman'!$A$6:$G$65,7,FALSE),""))</f>
      </c>
      <c r="R24" s="477"/>
      <c r="S24" s="478"/>
    </row>
    <row r="25" spans="3:19" s="68" customFormat="1" ht="15.75" customHeight="1">
      <c r="C25" s="185">
        <f>IF(ISNUMBER(E25)=TRUE,VLOOKUP(C26,'Upis rezultata E sektora'!$D$2:$G$13,4,0),"")</f>
      </c>
      <c r="D25" s="186">
        <f>IF(ISNUMBER(I21)=TRUE,VLOOKUP(C26,'Upis rezultata E sektora'!$D$2:$E$13,2,FALSE),"")</f>
      </c>
      <c r="E25" s="187">
        <f>IF(ISNUMBER(I21)=TRUE,VLOOKUP(D25,'Upis rezultata E sektora'!$E$2:$I$13,5,FALSE),"")</f>
      </c>
      <c r="F25" s="188">
        <f>IF(ISNUMBER(E25)=TRUE,VLOOKUP(D25,'Upis rezultata E sektora'!$E$2:$G$13,2,FALSE),"")</f>
      </c>
      <c r="G25" s="189">
        <f>IF(ISNUMBER(I21)=TRUE,VLOOKUP(C26,'Upis rezultata E sektora'!$D$2:$H$13,5,FALSE),"")</f>
      </c>
      <c r="H25" s="189">
        <f>IF(ISBLANK(D25)=TRUE,"",IF(ISNUMBER(I21)=TRUE,VLOOKUP(D25,'Pojedinačni plasman'!$A$6:$G$65,7,FALSE),""))</f>
      </c>
      <c r="I25" s="477"/>
      <c r="J25" s="478"/>
      <c r="L25" s="185">
        <f>IF(ISNUMBER(N25)=TRUE,VLOOKUP(L26,'Upis rezultata E sektora'!$D$2:$G$13,4,0),"")</f>
      </c>
      <c r="M25" s="186">
        <f>IF(ISNUMBER(R21)=TRUE,VLOOKUP(L26,'Upis rezultata E sektora'!$D$2:$E$13,2,FALSE),"")</f>
      </c>
      <c r="N25" s="187">
        <f>IF(ISNUMBER(R21)=TRUE,VLOOKUP(M25,'Upis rezultata E sektora'!$E$2:$I$13,5,FALSE),"")</f>
      </c>
      <c r="O25" s="188">
        <f>IF(ISNUMBER(N25)=TRUE,VLOOKUP(M25,'Upis rezultata E sektora'!$E$2:$G$13,2,FALSE),"")</f>
      </c>
      <c r="P25" s="189">
        <f>IF(ISNUMBER(R21)=TRUE,VLOOKUP(L26,'Upis rezultata E sektora'!$D$2:$H$13,5,FALSE),"")</f>
      </c>
      <c r="Q25" s="189">
        <f>IF(ISBLANK(M25)=TRUE,"",IF(ISNUMBER(R21)=TRUE,VLOOKUP(M25,'Pojedinačni plasman'!$A$6:$G$65,7,FALSE),""))</f>
      </c>
      <c r="R25" s="477"/>
      <c r="S25" s="478"/>
    </row>
    <row r="26" spans="3:19" s="83" customFormat="1" ht="21" thickBot="1">
      <c r="C26" s="472">
        <f>IF(ISNONTEXT('Ekipni plasman'!$B$7)=TRUE,"",'Ekipni plasman'!$B$7)</f>
      </c>
      <c r="D26" s="473"/>
      <c r="E26" s="474"/>
      <c r="F26" s="190">
        <f>VLOOKUP(C26,'Ekipni plasman'!$B$6:$F$17,3,FALSE)</f>
      </c>
      <c r="G26" s="351">
        <f>VLOOKUP(C26,'Ekipni plasman'!$B$6:$F$17,2,FALSE)</f>
      </c>
      <c r="H26" s="171"/>
      <c r="I26" s="479"/>
      <c r="J26" s="480"/>
      <c r="L26" s="472">
        <f>IF(ISNONTEXT('Ekipni plasman'!$B$13)=TRUE,"",'Ekipni plasman'!$B$13)</f>
      </c>
      <c r="M26" s="473"/>
      <c r="N26" s="474"/>
      <c r="O26" s="190">
        <f>VLOOKUP(L26,'Ekipni plasman'!$B$6:$F$17,3,FALSE)</f>
      </c>
      <c r="P26" s="351">
        <f>VLOOKUP(L26,'Ekipni plasman'!$B$6:$F$17,2,FALSE)</f>
      </c>
      <c r="Q26" s="171"/>
      <c r="R26" s="479"/>
      <c r="S26" s="480"/>
    </row>
    <row r="27" ht="15.75" thickBot="1"/>
    <row r="28" spans="3:19" s="68" customFormat="1" ht="15" customHeight="1">
      <c r="C28" s="180">
        <f>IF(ISNUMBER(E28)=TRUE,VLOOKUP(C33,'Upis rezultata A sektora'!$D$2:$I$13,6,0),"")</f>
      </c>
      <c r="D28" s="181">
        <f>IF(ISNUMBER(I28)=TRUE,VLOOKUP(C33,'Upis rezultata A sektora'!$D$2:$E$13,2,FALSE),"")</f>
      </c>
      <c r="E28" s="182">
        <f>IF(ISNUMBER(I28)=TRUE,VLOOKUP(D28,'Upis rezultata A sektora'!$E$2:$G$13,3,FALSE),"")</f>
      </c>
      <c r="F28" s="183">
        <f>IF(ISNUMBER(E28)=TRUE,VLOOKUP(D28,'Upis rezultata A sektora'!$E$2:$G$13,2,FALSE),"")</f>
      </c>
      <c r="G28" s="184">
        <f>IF(ISNUMBER(I28)=TRUE,VLOOKUP(C33,'Upis rezultata A sektora'!$D$2:$H$13,5,FALSE),"")</f>
      </c>
      <c r="H28" s="184">
        <f>IF(ISBLANK(D28)=TRUE,"",IF(ISNUMBER(I28)=TRUE,VLOOKUP(D28,'Pojedinačni plasman'!$A$6:$G$65,7,FALSE),""))</f>
      </c>
      <c r="I28" s="475">
        <f>VLOOKUP(C33,'Ekipni plasman'!$B$6:$F$17,5,FALSE)</f>
      </c>
      <c r="J28" s="476"/>
      <c r="L28" s="180">
        <f>IF(ISNUMBER(N28)=TRUE,VLOOKUP(L33,'Upis rezultata A sektora'!$D$2:$I$13,6,0),"")</f>
      </c>
      <c r="M28" s="181">
        <f>IF(ISNUMBER(R28)=TRUE,VLOOKUP(L33,'Upis rezultata A sektora'!$D$2:$E$13,2,FALSE),"")</f>
      </c>
      <c r="N28" s="182">
        <f>IF(ISNUMBER(R28)=TRUE,VLOOKUP(M28,'Upis rezultata A sektora'!$E$2:$G$13,3,FALSE),"")</f>
      </c>
      <c r="O28" s="183">
        <f>IF(ISNUMBER(N28)=TRUE,VLOOKUP(M28,'Upis rezultata A sektora'!$E$2:$G$13,2,FALSE),"")</f>
      </c>
      <c r="P28" s="184">
        <f>IF(ISNUMBER(R28)=TRUE,VLOOKUP(L33,'Upis rezultata A sektora'!$D$2:$H$13,5,FALSE),"")</f>
      </c>
      <c r="Q28" s="184">
        <f>IF(ISBLANK(M28)=TRUE,"",IF(ISNUMBER(R28)=TRUE,VLOOKUP(M28,'Pojedinačni plasman'!$A$6:$G$65,7,FALSE),""))</f>
      </c>
      <c r="R28" s="475">
        <f>VLOOKUP(L33,'Ekipni plasman'!$B$6:$F$17,5,FALSE)</f>
      </c>
      <c r="S28" s="476"/>
    </row>
    <row r="29" spans="3:19" s="68" customFormat="1" ht="15.75" customHeight="1">
      <c r="C29" s="185">
        <f>IF(ISNUMBER(E29)=TRUE,VLOOKUP(C33,'Upis rezultata B sektora'!$D$2:$G$13,4,0),"")</f>
      </c>
      <c r="D29" s="186">
        <f>IF(ISNUMBER(I28)=TRUE,VLOOKUP(C33,'Upis rezultata B sektora'!$D$2:$E$13,2,FALSE),"")</f>
      </c>
      <c r="E29" s="187">
        <f>IF(ISNUMBER(I28)=TRUE,VLOOKUP(D29,'Upis rezultata B sektora'!$E$2:$I$13,5,FALSE),"")</f>
      </c>
      <c r="F29" s="188">
        <f>IF(ISNUMBER(E29)=TRUE,VLOOKUP(D29,'Upis rezultata B sektora'!$E$2:$G$13,2,FALSE),"")</f>
      </c>
      <c r="G29" s="189">
        <f>IF(ISNUMBER(I28)=TRUE,VLOOKUP(C33,'Upis rezultata B sektora'!$D$2:$H$13,5,FALSE),"")</f>
      </c>
      <c r="H29" s="189">
        <f>IF(ISBLANK(D29)=TRUE,"",IF(ISNUMBER(I28)=TRUE,VLOOKUP(D29,'Pojedinačni plasman'!$A$6:$G$65,7,FALSE),""))</f>
      </c>
      <c r="I29" s="477"/>
      <c r="J29" s="478"/>
      <c r="L29" s="185">
        <f>IF(ISNUMBER(N29)=TRUE,VLOOKUP(L33,'Upis rezultata B sektora'!$D$2:$G$13,4,0),"")</f>
      </c>
      <c r="M29" s="186">
        <f>IF(ISNUMBER(R28)=TRUE,VLOOKUP(L33,'Upis rezultata B sektora'!$D$2:$E$13,2,FALSE),"")</f>
      </c>
      <c r="N29" s="187">
        <f>IF(ISNUMBER(R28)=TRUE,VLOOKUP(M29,'Upis rezultata B sektora'!$E$2:$I$13,5,FALSE),"")</f>
      </c>
      <c r="O29" s="188">
        <f>IF(ISNUMBER(N29)=TRUE,VLOOKUP(M29,'Upis rezultata B sektora'!$E$2:$G$13,2,FALSE),"")</f>
      </c>
      <c r="P29" s="189">
        <f>IF(ISNUMBER(R28)=TRUE,VLOOKUP(L33,'Upis rezultata B sektora'!$D$2:$H$13,5,FALSE),"")</f>
      </c>
      <c r="Q29" s="189">
        <f>IF(ISBLANK(M29)=TRUE,"",IF(ISNUMBER(R28)=TRUE,VLOOKUP(M29,'Pojedinačni plasman'!$A$6:$G$65,7,FALSE),""))</f>
      </c>
      <c r="R29" s="477"/>
      <c r="S29" s="478"/>
    </row>
    <row r="30" spans="3:19" s="68" customFormat="1" ht="15.75" customHeight="1">
      <c r="C30" s="185">
        <f>IF(ISNUMBER(E30)=TRUE,VLOOKUP(C33,'Upis rezultata C sektora'!$D$2:$G$13,4,0),"")</f>
      </c>
      <c r="D30" s="186">
        <f>IF(ISNUMBER(I28)=TRUE,VLOOKUP(C33,'Upis rezultata C sektora'!$D$2:$E$13,2,FALSE),"")</f>
      </c>
      <c r="E30" s="187">
        <f>IF(ISNUMBER(I28)=TRUE,VLOOKUP(D30,'Upis rezultata C sektora'!$E$2:$I$13,5,FALSE),"")</f>
      </c>
      <c r="F30" s="188">
        <f>IF(ISNUMBER(E30)=TRUE,VLOOKUP(D30,'Upis rezultata C sektora'!$E$2:$G$13,2,FALSE),"")</f>
      </c>
      <c r="G30" s="189">
        <f>IF(ISNUMBER(I28)=TRUE,VLOOKUP(C33,'Upis rezultata C sektora'!$D$2:$H$13,5,FALSE),"")</f>
      </c>
      <c r="H30" s="189">
        <f>IF(ISBLANK(D30)=TRUE,"",IF(ISNUMBER(I28)=TRUE,VLOOKUP(D30,'Pojedinačni plasman'!$A$6:$G$65,7,FALSE),""))</f>
      </c>
      <c r="I30" s="477"/>
      <c r="J30" s="478"/>
      <c r="L30" s="185">
        <f>IF(ISNUMBER(N30)=TRUE,VLOOKUP(L33,'Upis rezultata C sektora'!$D$2:$G$13,4,0),"")</f>
      </c>
      <c r="M30" s="186">
        <f>IF(ISNUMBER(R28)=TRUE,VLOOKUP(L33,'Upis rezultata C sektora'!$D$2:$E$13,2,FALSE),"")</f>
      </c>
      <c r="N30" s="187">
        <f>IF(ISNUMBER(R28)=TRUE,VLOOKUP(M30,'Upis rezultata C sektora'!$E$2:$I$13,5,FALSE),"")</f>
      </c>
      <c r="O30" s="188">
        <f>IF(ISNUMBER(N30)=TRUE,VLOOKUP(M30,'Upis rezultata C sektora'!$E$2:$G$13,2,FALSE),"")</f>
      </c>
      <c r="P30" s="189">
        <f>IF(ISNUMBER(R28)=TRUE,VLOOKUP(L33,'Upis rezultata C sektora'!$D$2:$H$13,5,FALSE),"")</f>
      </c>
      <c r="Q30" s="189">
        <f>IF(ISBLANK(M30)=TRUE,"",IF(ISNUMBER(R28)=TRUE,VLOOKUP(M30,'Pojedinačni plasman'!$A$6:$G$65,7,FALSE),""))</f>
      </c>
      <c r="R30" s="477"/>
      <c r="S30" s="478"/>
    </row>
    <row r="31" spans="3:19" s="68" customFormat="1" ht="15.75" customHeight="1">
      <c r="C31" s="185">
        <f>IF(ISNUMBER(E31)=TRUE,VLOOKUP(C33,'Upis rezultata D sektora'!$D$2:$G$13,4,0),"")</f>
      </c>
      <c r="D31" s="186">
        <f>IF(ISNUMBER(I28)=TRUE,VLOOKUP(C33,'Upis rezultata D sektora'!$D$2:$E$13,2,FALSE),"")</f>
      </c>
      <c r="E31" s="187">
        <f>IF(ISNUMBER(I28)=TRUE,VLOOKUP(D31,'Upis rezultata D sektora'!$E$2:$I$13,5,FALSE),"")</f>
      </c>
      <c r="F31" s="188">
        <f>IF(ISNUMBER(E31)=TRUE,VLOOKUP(D31,'Upis rezultata D sektora'!$E$2:$G$13,2,FALSE),"")</f>
      </c>
      <c r="G31" s="189">
        <f>IF(ISNUMBER(I28)=TRUE,VLOOKUP(C33,'Upis rezultata D sektora'!$D$2:$H$13,5,FALSE),"")</f>
      </c>
      <c r="H31" s="189">
        <f>IF(ISBLANK(D31)=TRUE,"",IF(ISNUMBER(I28)=TRUE,VLOOKUP(D31,'Pojedinačni plasman'!$A$6:$G$65,7,FALSE),""))</f>
      </c>
      <c r="I31" s="477"/>
      <c r="J31" s="478"/>
      <c r="L31" s="185">
        <f>IF(ISNUMBER(N31)=TRUE,VLOOKUP(L33,'Upis rezultata D sektora'!$D$2:$G$13,4,0),"")</f>
      </c>
      <c r="M31" s="186">
        <f>IF(ISNUMBER(R28)=TRUE,VLOOKUP(L33,'Upis rezultata D sektora'!$D$2:$E$13,2,FALSE),"")</f>
      </c>
      <c r="N31" s="187">
        <f>IF(ISNUMBER(R28)=TRUE,VLOOKUP(M31,'Upis rezultata D sektora'!$E$2:$I$13,5,FALSE),"")</f>
      </c>
      <c r="O31" s="188">
        <f>IF(ISNUMBER(N31)=TRUE,VLOOKUP(M31,'Upis rezultata D sektora'!$E$2:$G$13,2,FALSE),"")</f>
      </c>
      <c r="P31" s="189">
        <f>IF(ISNUMBER(R28)=TRUE,VLOOKUP(L33,'Upis rezultata D sektora'!$D$2:$H$13,5,FALSE),"")</f>
      </c>
      <c r="Q31" s="189">
        <f>IF(ISBLANK(M31)=TRUE,"",IF(ISNUMBER(R28)=TRUE,VLOOKUP(M31,'Pojedinačni plasman'!$A$6:$G$65,7,FALSE),""))</f>
      </c>
      <c r="R31" s="477"/>
      <c r="S31" s="478"/>
    </row>
    <row r="32" spans="3:19" s="68" customFormat="1" ht="15.75" customHeight="1">
      <c r="C32" s="185">
        <f>IF(ISNUMBER(E32)=TRUE,VLOOKUP(C33,'Upis rezultata E sektora'!$D$2:$G$13,4,0),"")</f>
      </c>
      <c r="D32" s="186">
        <f>IF(ISNUMBER(I28)=TRUE,VLOOKUP(C33,'Upis rezultata E sektora'!$D$2:$E$13,2,FALSE),"")</f>
      </c>
      <c r="E32" s="187">
        <f>IF(ISNUMBER(I28)=TRUE,VLOOKUP(D32,'Upis rezultata E sektora'!$E$2:$I$13,5,FALSE),"")</f>
      </c>
      <c r="F32" s="188">
        <f>IF(ISNUMBER(E32)=TRUE,VLOOKUP(D32,'Upis rezultata E sektora'!$E$2:$G$13,2,FALSE),"")</f>
      </c>
      <c r="G32" s="189">
        <f>IF(ISNUMBER(I28)=TRUE,VLOOKUP(C33,'Upis rezultata E sektora'!$D$2:$H$13,5,FALSE),"")</f>
      </c>
      <c r="H32" s="189">
        <f>IF(ISBLANK(D32)=TRUE,"",IF(ISNUMBER(I28)=TRUE,VLOOKUP(D32,'Pojedinačni plasman'!$A$6:$G$65,7,FALSE),""))</f>
      </c>
      <c r="I32" s="477"/>
      <c r="J32" s="478"/>
      <c r="L32" s="185">
        <f>IF(ISNUMBER(N32)=TRUE,VLOOKUP(L33,'Upis rezultata E sektora'!$D$2:$G$13,4,0),"")</f>
      </c>
      <c r="M32" s="186">
        <f>IF(ISNUMBER(R28)=TRUE,VLOOKUP(L33,'Upis rezultata E sektora'!$D$2:$E$13,2,FALSE),"")</f>
      </c>
      <c r="N32" s="187">
        <f>IF(ISNUMBER(R28)=TRUE,VLOOKUP(M32,'Upis rezultata E sektora'!$E$2:$I$13,5,FALSE),"")</f>
      </c>
      <c r="O32" s="188">
        <f>IF(ISNUMBER(N32)=TRUE,VLOOKUP(M32,'Upis rezultata E sektora'!$E$2:$G$13,2,FALSE),"")</f>
      </c>
      <c r="P32" s="189">
        <f>IF(ISNUMBER(R28)=TRUE,VLOOKUP(L33,'Upis rezultata E sektora'!$D$2:$H$13,5,FALSE),"")</f>
      </c>
      <c r="Q32" s="189">
        <f>IF(ISBLANK(M32)=TRUE,"",IF(ISNUMBER(R28)=TRUE,VLOOKUP(M32,'Pojedinačni plasman'!$A$6:$G$65,7,FALSE),""))</f>
      </c>
      <c r="R32" s="477"/>
      <c r="S32" s="478"/>
    </row>
    <row r="33" spans="3:19" s="83" customFormat="1" ht="21" thickBot="1">
      <c r="C33" s="472">
        <f>IF(ISNONTEXT('Ekipni plasman'!$B$8)=TRUE,"",'Ekipni plasman'!$B$8)</f>
      </c>
      <c r="D33" s="473"/>
      <c r="E33" s="474"/>
      <c r="F33" s="190">
        <f>VLOOKUP(C33,'Ekipni plasman'!$B$6:$F$17,3,FALSE)</f>
      </c>
      <c r="G33" s="351">
        <f>VLOOKUP(C33,'Ekipni plasman'!$B$6:$F$17,2,FALSE)</f>
      </c>
      <c r="H33" s="171"/>
      <c r="I33" s="479"/>
      <c r="J33" s="480"/>
      <c r="L33" s="472">
        <f>IF(ISNONTEXT('Ekipni plasman'!$B$14)=TRUE,"",'Ekipni plasman'!$B$14)</f>
      </c>
      <c r="M33" s="473"/>
      <c r="N33" s="474"/>
      <c r="O33" s="190">
        <f>VLOOKUP(L33,'Ekipni plasman'!$B$6:$F$17,3,FALSE)</f>
      </c>
      <c r="P33" s="351">
        <f>VLOOKUP(L33,'Ekipni plasman'!$B$6:$F$17,2,FALSE)</f>
      </c>
      <c r="Q33" s="171"/>
      <c r="R33" s="479"/>
      <c r="S33" s="480"/>
    </row>
    <row r="34" ht="15.75" thickBot="1"/>
    <row r="35" spans="3:19" s="68" customFormat="1" ht="15" customHeight="1">
      <c r="C35" s="180">
        <f>IF(ISNUMBER(E35)=TRUE,VLOOKUP(C40,'Upis rezultata A sektora'!$D$2:$I$13,6,0),"")</f>
      </c>
      <c r="D35" s="181">
        <f>IF(ISNUMBER(I35)=TRUE,VLOOKUP(C40,'Upis rezultata A sektora'!$D$2:$E$13,2,FALSE),"")</f>
      </c>
      <c r="E35" s="182">
        <f>IF(ISNUMBER(I35)=TRUE,VLOOKUP(D35,'Upis rezultata A sektora'!$E$2:$G$13,3,FALSE),"")</f>
      </c>
      <c r="F35" s="183">
        <f>IF(ISNUMBER(E35)=TRUE,VLOOKUP(D35,'Upis rezultata A sektora'!$E$2:$G$13,2,FALSE),"")</f>
      </c>
      <c r="G35" s="184">
        <f>IF(ISNUMBER(I35)=TRUE,VLOOKUP(C40,'Upis rezultata A sektora'!$D$2:$H$13,5,FALSE),"")</f>
      </c>
      <c r="H35" s="184">
        <f>IF(ISBLANK(D35)=TRUE,"",IF(ISNUMBER(I35)=TRUE,VLOOKUP(D35,'Pojedinačni plasman'!$A$6:$G$65,7,FALSE),""))</f>
      </c>
      <c r="I35" s="475">
        <f>VLOOKUP(C40,'Ekipni plasman'!$B$6:$F$17,5,FALSE)</f>
      </c>
      <c r="J35" s="476"/>
      <c r="L35" s="180">
        <f>IF(ISNUMBER(N35)=TRUE,VLOOKUP(L40,'Upis rezultata A sektora'!$D$2:$I$13,6,0),"")</f>
      </c>
      <c r="M35" s="181">
        <f>IF(ISNUMBER(R35)=TRUE,VLOOKUP(L40,'Upis rezultata A sektora'!$D$2:$E$13,2,FALSE),"")</f>
      </c>
      <c r="N35" s="182">
        <f>IF(ISNUMBER(R35)=TRUE,VLOOKUP(M35,'Upis rezultata A sektora'!$E$2:$G$13,3,FALSE),"")</f>
      </c>
      <c r="O35" s="183">
        <f>IF(ISNUMBER(N35)=TRUE,VLOOKUP(M35,'Upis rezultata A sektora'!$E$2:$G$13,2,FALSE),"")</f>
      </c>
      <c r="P35" s="184">
        <f>IF(ISNUMBER(R35)=TRUE,VLOOKUP(L40,'Upis rezultata A sektora'!$D$2:$H$13,5,FALSE),"")</f>
      </c>
      <c r="Q35" s="184">
        <f>IF(ISBLANK(M35)=TRUE,"",IF(ISNUMBER(R35)=TRUE,VLOOKUP(M35,'Pojedinačni plasman'!$A$6:$G$65,7,FALSE),""))</f>
      </c>
      <c r="R35" s="475">
        <f>VLOOKUP(L40,'Ekipni plasman'!$B$6:$F$17,5,FALSE)</f>
      </c>
      <c r="S35" s="476"/>
    </row>
    <row r="36" spans="3:19" s="68" customFormat="1" ht="15.75" customHeight="1">
      <c r="C36" s="185">
        <f>IF(ISNUMBER(E36)=TRUE,VLOOKUP(C40,'Upis rezultata B sektora'!$D$2:$G$13,4,0),"")</f>
      </c>
      <c r="D36" s="186">
        <f>IF(ISNUMBER(I35)=TRUE,VLOOKUP(C40,'Upis rezultata B sektora'!$D$2:$E$13,2,FALSE),"")</f>
      </c>
      <c r="E36" s="187">
        <f>IF(ISNUMBER(I35)=TRUE,VLOOKUP(D36,'Upis rezultata B sektora'!$E$2:$I$13,5,FALSE),"")</f>
      </c>
      <c r="F36" s="188">
        <f>IF(ISNUMBER(E36)=TRUE,VLOOKUP(D36,'Upis rezultata B sektora'!$E$2:$G$13,2,FALSE),"")</f>
      </c>
      <c r="G36" s="189">
        <f>IF(ISNUMBER(I35)=TRUE,VLOOKUP(C40,'Upis rezultata B sektora'!$D$2:$H$13,5,FALSE),"")</f>
      </c>
      <c r="H36" s="189">
        <f>IF(ISBLANK(D36)=TRUE,"",IF(ISNUMBER(I35)=TRUE,VLOOKUP(D36,'Pojedinačni plasman'!$A$6:$G$65,7,FALSE),""))</f>
      </c>
      <c r="I36" s="477"/>
      <c r="J36" s="478"/>
      <c r="L36" s="185">
        <f>IF(ISNUMBER(N36)=TRUE,VLOOKUP(L40,'Upis rezultata B sektora'!$D$2:$G$13,4,0),"")</f>
      </c>
      <c r="M36" s="186">
        <f>IF(ISNUMBER(R35)=TRUE,VLOOKUP(L40,'Upis rezultata B sektora'!$D$2:$E$13,2,FALSE),"")</f>
      </c>
      <c r="N36" s="187">
        <f>IF(ISNUMBER(R35)=TRUE,VLOOKUP(M36,'Upis rezultata B sektora'!$E$2:$I$13,5,FALSE),"")</f>
      </c>
      <c r="O36" s="188">
        <f>IF(ISNUMBER(N36)=TRUE,VLOOKUP(M36,'Upis rezultata B sektora'!$E$2:$G$13,2,FALSE),"")</f>
      </c>
      <c r="P36" s="189">
        <f>IF(ISNUMBER(R35)=TRUE,VLOOKUP(L40,'Upis rezultata B sektora'!$D$2:$H$13,5,FALSE),"")</f>
      </c>
      <c r="Q36" s="189">
        <f>IF(ISBLANK(M36)=TRUE,"",IF(ISNUMBER(R35)=TRUE,VLOOKUP(M36,'Pojedinačni plasman'!$A$6:$G$65,7,FALSE),""))</f>
      </c>
      <c r="R36" s="477"/>
      <c r="S36" s="478"/>
    </row>
    <row r="37" spans="3:19" s="68" customFormat="1" ht="15.75" customHeight="1">
      <c r="C37" s="185">
        <f>IF(ISNUMBER(E37)=TRUE,VLOOKUP(C40,'Upis rezultata C sektora'!$D$2:$G$13,4,0),"")</f>
      </c>
      <c r="D37" s="186">
        <f>IF(ISNUMBER(I35)=TRUE,VLOOKUP(C40,'Upis rezultata C sektora'!$D$2:$E$13,2,FALSE),"")</f>
      </c>
      <c r="E37" s="187">
        <f>IF(ISNUMBER(I35)=TRUE,VLOOKUP(D37,'Upis rezultata C sektora'!$E$2:$I$13,5,FALSE),"")</f>
      </c>
      <c r="F37" s="188">
        <f>IF(ISNUMBER(E37)=TRUE,VLOOKUP(D37,'Upis rezultata C sektora'!$E$2:$G$13,2,FALSE),"")</f>
      </c>
      <c r="G37" s="189">
        <f>IF(ISNUMBER(I35)=TRUE,VLOOKUP(C40,'Upis rezultata C sektora'!$D$2:$H$13,5,FALSE),"")</f>
      </c>
      <c r="H37" s="189">
        <f>IF(ISBLANK(D37)=TRUE,"",IF(ISNUMBER(I35)=TRUE,VLOOKUP(D37,'Pojedinačni plasman'!$A$6:$G$65,7,FALSE),""))</f>
      </c>
      <c r="I37" s="477"/>
      <c r="J37" s="478"/>
      <c r="L37" s="185">
        <f>IF(ISNUMBER(N37)=TRUE,VLOOKUP(L40,'Upis rezultata C sektora'!$D$2:$G$13,4,0),"")</f>
      </c>
      <c r="M37" s="186">
        <f>IF(ISNUMBER(R35)=TRUE,VLOOKUP(L40,'Upis rezultata C sektora'!$D$2:$E$13,2,FALSE),"")</f>
      </c>
      <c r="N37" s="187">
        <f>IF(ISNUMBER(R35)=TRUE,VLOOKUP(M37,'Upis rezultata C sektora'!$E$2:$I$13,5,FALSE),"")</f>
      </c>
      <c r="O37" s="188">
        <f>IF(ISNUMBER(N37)=TRUE,VLOOKUP(M37,'Upis rezultata C sektora'!$E$2:$G$13,2,FALSE),"")</f>
      </c>
      <c r="P37" s="189">
        <f>IF(ISNUMBER(R35)=TRUE,VLOOKUP(L40,'Upis rezultata C sektora'!$D$2:$H$13,5,FALSE),"")</f>
      </c>
      <c r="Q37" s="189">
        <f>IF(ISBLANK(M37)=TRUE,"",IF(ISNUMBER(R35)=TRUE,VLOOKUP(M37,'Pojedinačni plasman'!$A$6:$G$65,7,FALSE),""))</f>
      </c>
      <c r="R37" s="477"/>
      <c r="S37" s="478"/>
    </row>
    <row r="38" spans="3:19" s="68" customFormat="1" ht="15.75" customHeight="1">
      <c r="C38" s="185">
        <f>IF(ISNUMBER(E38)=TRUE,VLOOKUP(C40,'Upis rezultata D sektora'!$D$2:$G$13,4,0),"")</f>
      </c>
      <c r="D38" s="186">
        <f>IF(ISNUMBER(I35)=TRUE,VLOOKUP(C40,'Upis rezultata D sektora'!$D$2:$E$13,2,FALSE),"")</f>
      </c>
      <c r="E38" s="187">
        <f>IF(ISNUMBER(I35)=TRUE,VLOOKUP(D38,'Upis rezultata D sektora'!$E$2:$I$13,5,FALSE),"")</f>
      </c>
      <c r="F38" s="188">
        <f>IF(ISNUMBER(E38)=TRUE,VLOOKUP(D38,'Upis rezultata D sektora'!$E$2:$G$13,2,FALSE),"")</f>
      </c>
      <c r="G38" s="189">
        <f>IF(ISNUMBER(I35)=TRUE,VLOOKUP(C40,'Upis rezultata D sektora'!$D$2:$H$13,5,FALSE),"")</f>
      </c>
      <c r="H38" s="189">
        <f>IF(ISBLANK(D38)=TRUE,"",IF(ISNUMBER(I35)=TRUE,VLOOKUP(D38,'Pojedinačni plasman'!$A$6:$G$65,7,FALSE),""))</f>
      </c>
      <c r="I38" s="477"/>
      <c r="J38" s="478"/>
      <c r="L38" s="185">
        <f>IF(ISNUMBER(N38)=TRUE,VLOOKUP(L40,'Upis rezultata D sektora'!$D$2:$G$13,4,0),"")</f>
      </c>
      <c r="M38" s="186">
        <f>IF(ISNUMBER(R35)=TRUE,VLOOKUP(L40,'Upis rezultata D sektora'!$D$2:$E$13,2,FALSE),"")</f>
      </c>
      <c r="N38" s="187">
        <f>IF(ISNUMBER(R35)=TRUE,VLOOKUP(M38,'Upis rezultata D sektora'!$E$2:$I$13,5,FALSE),"")</f>
      </c>
      <c r="O38" s="188">
        <f>IF(ISNUMBER(N38)=TRUE,VLOOKUP(M38,'Upis rezultata D sektora'!$E$2:$G$13,2,FALSE),"")</f>
      </c>
      <c r="P38" s="189">
        <f>IF(ISNUMBER(R35)=TRUE,VLOOKUP(L40,'Upis rezultata D sektora'!$D$2:$H$13,5,FALSE),"")</f>
      </c>
      <c r="Q38" s="189">
        <f>IF(ISBLANK(M38)=TRUE,"",IF(ISNUMBER(R35)=TRUE,VLOOKUP(M38,'Pojedinačni plasman'!$A$6:$G$65,7,FALSE),""))</f>
      </c>
      <c r="R38" s="477"/>
      <c r="S38" s="478"/>
    </row>
    <row r="39" spans="3:19" s="68" customFormat="1" ht="15.75" customHeight="1">
      <c r="C39" s="185">
        <f>IF(ISNUMBER(E39)=TRUE,VLOOKUP(C40,'Upis rezultata E sektora'!$D$2:$G$13,4,0),"")</f>
      </c>
      <c r="D39" s="186">
        <f>IF(ISNUMBER(I35)=TRUE,VLOOKUP(C40,'Upis rezultata E sektora'!$D$2:$E$13,2,FALSE),"")</f>
      </c>
      <c r="E39" s="187">
        <f>IF(ISNUMBER(I35)=TRUE,VLOOKUP(D39,'Upis rezultata E sektora'!$E$2:$I$13,5,FALSE),"")</f>
      </c>
      <c r="F39" s="188">
        <f>IF(ISNUMBER(E39)=TRUE,VLOOKUP(D39,'Upis rezultata E sektora'!$E$2:$G$13,2,FALSE),"")</f>
      </c>
      <c r="G39" s="189">
        <f>IF(ISNUMBER(I35)=TRUE,VLOOKUP(C40,'Upis rezultata E sektora'!$D$2:$H$13,5,FALSE),"")</f>
      </c>
      <c r="H39" s="189">
        <f>IF(ISBLANK(D39)=TRUE,"",IF(ISNUMBER(I35)=TRUE,VLOOKUP(D39,'Pojedinačni plasman'!$A$6:$G$65,7,FALSE),""))</f>
      </c>
      <c r="I39" s="477"/>
      <c r="J39" s="478"/>
      <c r="L39" s="185">
        <f>IF(ISNUMBER(N39)=TRUE,VLOOKUP(L40,'Upis rezultata E sektora'!$D$2:$G$13,4,0),"")</f>
      </c>
      <c r="M39" s="186">
        <f>IF(ISNUMBER(R35)=TRUE,VLOOKUP(L40,'Upis rezultata E sektora'!$D$2:$E$13,2,FALSE),"")</f>
      </c>
      <c r="N39" s="187">
        <f>IF(ISNUMBER(R35)=TRUE,VLOOKUP(M39,'Upis rezultata E sektora'!$E$2:$I$13,5,FALSE),"")</f>
      </c>
      <c r="O39" s="188">
        <f>IF(ISNUMBER(N39)=TRUE,VLOOKUP(M39,'Upis rezultata E sektora'!$E$2:$G$13,2,FALSE),"")</f>
      </c>
      <c r="P39" s="189">
        <f>IF(ISNUMBER(R35)=TRUE,VLOOKUP(L40,'Upis rezultata E sektora'!$D$2:$H$13,5,FALSE),"")</f>
      </c>
      <c r="Q39" s="189">
        <f>IF(ISBLANK(M39)=TRUE,"",IF(ISNUMBER(R35)=TRUE,VLOOKUP(M39,'Pojedinačni plasman'!$A$6:$G$65,7,FALSE),""))</f>
      </c>
      <c r="R39" s="477"/>
      <c r="S39" s="478"/>
    </row>
    <row r="40" spans="3:19" s="83" customFormat="1" ht="21" thickBot="1">
      <c r="C40" s="472">
        <f>IF(ISNONTEXT('Ekipni plasman'!$B$9)=TRUE,"",'Ekipni plasman'!$B$9)</f>
      </c>
      <c r="D40" s="473"/>
      <c r="E40" s="474"/>
      <c r="F40" s="190">
        <f>VLOOKUP(C40,'Ekipni plasman'!$B$6:$F$17,3,FALSE)</f>
      </c>
      <c r="G40" s="351">
        <f>VLOOKUP(C40,'Ekipni plasman'!$B$6:$F$17,2,FALSE)</f>
      </c>
      <c r="H40" s="171"/>
      <c r="I40" s="479"/>
      <c r="J40" s="480"/>
      <c r="L40" s="472">
        <f>IF(ISNONTEXT('Ekipni plasman'!$B$15)=TRUE,"",'Ekipni plasman'!$B$15)</f>
      </c>
      <c r="M40" s="473"/>
      <c r="N40" s="474"/>
      <c r="O40" s="190">
        <f>VLOOKUP(L40,'Ekipni plasman'!$B$6:$F$17,3,FALSE)</f>
      </c>
      <c r="P40" s="351">
        <f>VLOOKUP(L40,'Ekipni plasman'!$B$6:$F$17,2,FALSE)</f>
      </c>
      <c r="Q40" s="171"/>
      <c r="R40" s="479"/>
      <c r="S40" s="480"/>
    </row>
    <row r="41" ht="15.75" thickBot="1"/>
    <row r="42" spans="3:19" s="68" customFormat="1" ht="15" customHeight="1">
      <c r="C42" s="180">
        <f>IF(ISNUMBER(E42)=TRUE,VLOOKUP(C47,'Upis rezultata A sektora'!$D$2:$I$13,6,0),"")</f>
      </c>
      <c r="D42" s="181">
        <f>IF(ISNUMBER(I42)=TRUE,VLOOKUP(C47,'Upis rezultata A sektora'!$D$2:$E$13,2,FALSE),"")</f>
      </c>
      <c r="E42" s="182">
        <f>IF(ISNUMBER(I42)=TRUE,VLOOKUP(D42,'Upis rezultata A sektora'!$E$2:$G$13,3,FALSE),"")</f>
      </c>
      <c r="F42" s="183">
        <f>IF(ISNUMBER(E42)=TRUE,VLOOKUP(D42,'Upis rezultata A sektora'!$E$2:$G$13,2,FALSE),"")</f>
      </c>
      <c r="G42" s="184">
        <f>IF(ISNUMBER(I42)=TRUE,VLOOKUP(C47,'Upis rezultata A sektora'!$D$2:$H$13,5,FALSE),"")</f>
      </c>
      <c r="H42" s="184">
        <f>IF(ISBLANK(D42)=TRUE,"",IF(ISNUMBER(I42)=TRUE,VLOOKUP(D42,'Pojedinačni plasman'!$A$6:$G$65,7,FALSE),""))</f>
      </c>
      <c r="I42" s="475">
        <f>VLOOKUP(C47,'Ekipni plasman'!$B$6:$F$17,5,FALSE)</f>
      </c>
      <c r="J42" s="476"/>
      <c r="L42" s="180">
        <f>IF(ISNUMBER(N42)=TRUE,VLOOKUP(L47,'Upis rezultata A sektora'!$D$2:$I$13,6,0),"")</f>
      </c>
      <c r="M42" s="181">
        <f>IF(ISNUMBER(R42)=TRUE,VLOOKUP(L47,'Upis rezultata A sektora'!$D$2:$E$13,2,FALSE),"")</f>
      </c>
      <c r="N42" s="182">
        <f>IF(ISNUMBER(R42)=TRUE,VLOOKUP(M42,'Upis rezultata A sektora'!$E$2:$G$13,3,FALSE),"")</f>
      </c>
      <c r="O42" s="183">
        <f>IF(ISNUMBER(N42)=TRUE,VLOOKUP(M42,'Upis rezultata A sektora'!$E$2:$G$13,2,FALSE),"")</f>
      </c>
      <c r="P42" s="184">
        <f>IF(ISNUMBER(R42)=TRUE,VLOOKUP(L47,'Upis rezultata A sektora'!$D$2:$H$13,5,FALSE),"")</f>
      </c>
      <c r="Q42" s="184">
        <f>IF(ISBLANK(M42)=TRUE,"",IF(ISNUMBER(R42)=TRUE,VLOOKUP(M42,'Pojedinačni plasman'!$A$6:$G$65,7,FALSE),""))</f>
      </c>
      <c r="R42" s="475">
        <f>VLOOKUP(L47,'Ekipni plasman'!$B$6:$F$17,5,FALSE)</f>
      </c>
      <c r="S42" s="476"/>
    </row>
    <row r="43" spans="3:19" s="68" customFormat="1" ht="15.75" customHeight="1">
      <c r="C43" s="185">
        <f>IF(ISNUMBER(E43)=TRUE,VLOOKUP(C47,'Upis rezultata B sektora'!$D$2:$G$13,4,0),"")</f>
      </c>
      <c r="D43" s="186">
        <f>IF(ISNUMBER(I42)=TRUE,VLOOKUP(C47,'Upis rezultata B sektora'!$D$2:$E$13,2,FALSE),"")</f>
      </c>
      <c r="E43" s="187">
        <f>IF(ISNUMBER(I42)=TRUE,VLOOKUP(D43,'Upis rezultata B sektora'!$E$2:$I$13,5,FALSE),"")</f>
      </c>
      <c r="F43" s="188">
        <f>IF(ISNUMBER(E43)=TRUE,VLOOKUP(D43,'Upis rezultata B sektora'!$E$2:$G$13,2,FALSE),"")</f>
      </c>
      <c r="G43" s="189">
        <f>IF(ISNUMBER(I42)=TRUE,VLOOKUP(C47,'Upis rezultata B sektora'!$D$2:$H$13,5,FALSE),"")</f>
      </c>
      <c r="H43" s="189">
        <f>IF(ISBLANK(D43)=TRUE,"",IF(ISNUMBER(I42)=TRUE,VLOOKUP(D43,'Pojedinačni plasman'!$A$6:$G$65,7,FALSE),""))</f>
      </c>
      <c r="I43" s="477"/>
      <c r="J43" s="478"/>
      <c r="L43" s="185">
        <f>IF(ISNUMBER(N43)=TRUE,VLOOKUP(L47,'Upis rezultata B sektora'!$D$2:$G$13,4,0),"")</f>
      </c>
      <c r="M43" s="186">
        <f>IF(ISNUMBER(R42)=TRUE,VLOOKUP(L47,'Upis rezultata B sektora'!$D$2:$E$13,2,FALSE),"")</f>
      </c>
      <c r="N43" s="187">
        <f>IF(ISNUMBER(R42)=TRUE,VLOOKUP(M43,'Upis rezultata B sektora'!$E$2:$I$13,5,FALSE),"")</f>
      </c>
      <c r="O43" s="188">
        <f>IF(ISNUMBER(N43)=TRUE,VLOOKUP(M43,'Upis rezultata B sektora'!$E$2:$G$13,2,FALSE),"")</f>
      </c>
      <c r="P43" s="189">
        <f>IF(ISNUMBER(R42)=TRUE,VLOOKUP(L47,'Upis rezultata B sektora'!$D$2:$H$13,5,FALSE),"")</f>
      </c>
      <c r="Q43" s="189">
        <f>IF(ISBLANK(M43)=TRUE,"",IF(ISNUMBER(R42)=TRUE,VLOOKUP(M43,'Pojedinačni plasman'!$A$6:$G$65,7,FALSE),""))</f>
      </c>
      <c r="R43" s="477"/>
      <c r="S43" s="478"/>
    </row>
    <row r="44" spans="3:19" s="68" customFormat="1" ht="15.75" customHeight="1">
      <c r="C44" s="185">
        <f>IF(ISNUMBER(E44)=TRUE,VLOOKUP(C47,'Upis rezultata C sektora'!$D$2:$G$13,4,0),"")</f>
      </c>
      <c r="D44" s="186">
        <f>IF(ISNUMBER(I42)=TRUE,VLOOKUP(C47,'Upis rezultata C sektora'!$D$2:$E$13,2,FALSE),"")</f>
      </c>
      <c r="E44" s="187">
        <f>IF(ISNUMBER(I42)=TRUE,VLOOKUP(D44,'Upis rezultata C sektora'!$E$2:$I$13,5,FALSE),"")</f>
      </c>
      <c r="F44" s="188">
        <f>IF(ISNUMBER(E44)=TRUE,VLOOKUP(D44,'Upis rezultata C sektora'!$E$2:$G$13,2,FALSE),"")</f>
      </c>
      <c r="G44" s="189">
        <f>IF(ISNUMBER(I42)=TRUE,VLOOKUP(C47,'Upis rezultata C sektora'!$D$2:$H$13,5,FALSE),"")</f>
      </c>
      <c r="H44" s="189">
        <f>IF(ISBLANK(D44)=TRUE,"",IF(ISNUMBER(I42)=TRUE,VLOOKUP(D44,'Pojedinačni plasman'!$A$6:$G$65,7,FALSE),""))</f>
      </c>
      <c r="I44" s="477"/>
      <c r="J44" s="478"/>
      <c r="L44" s="185">
        <f>IF(ISNUMBER(N44)=TRUE,VLOOKUP(L47,'Upis rezultata C sektora'!$D$2:$G$13,4,0),"")</f>
      </c>
      <c r="M44" s="186">
        <f>IF(ISNUMBER(R42)=TRUE,VLOOKUP(L47,'Upis rezultata C sektora'!$D$2:$E$13,2,FALSE),"")</f>
      </c>
      <c r="N44" s="187">
        <f>IF(ISNUMBER(R42)=TRUE,VLOOKUP(M44,'Upis rezultata C sektora'!$E$2:$I$13,5,FALSE),"")</f>
      </c>
      <c r="O44" s="188">
        <f>IF(ISNUMBER(N44)=TRUE,VLOOKUP(M44,'Upis rezultata C sektora'!$E$2:$G$13,2,FALSE),"")</f>
      </c>
      <c r="P44" s="189">
        <f>IF(ISNUMBER(R42)=TRUE,VLOOKUP(L47,'Upis rezultata C sektora'!$D$2:$H$13,5,FALSE),"")</f>
      </c>
      <c r="Q44" s="189">
        <f>IF(ISBLANK(M44)=TRUE,"",IF(ISNUMBER(R42)=TRUE,VLOOKUP(M44,'Pojedinačni plasman'!$A$6:$G$65,7,FALSE),""))</f>
      </c>
      <c r="R44" s="477"/>
      <c r="S44" s="478"/>
    </row>
    <row r="45" spans="3:19" s="68" customFormat="1" ht="15.75" customHeight="1">
      <c r="C45" s="185">
        <f>IF(ISNUMBER(E45)=TRUE,VLOOKUP(C47,'Upis rezultata D sektora'!$D$2:$G$13,4,0),"")</f>
      </c>
      <c r="D45" s="186">
        <f>IF(ISNUMBER(I42)=TRUE,VLOOKUP(C47,'Upis rezultata D sektora'!$D$2:$E$13,2,FALSE),"")</f>
      </c>
      <c r="E45" s="187">
        <f>IF(ISNUMBER(I42)=TRUE,VLOOKUP(D45,'Upis rezultata D sektora'!$E$2:$I$13,5,FALSE),"")</f>
      </c>
      <c r="F45" s="188">
        <f>IF(ISNUMBER(E45)=TRUE,VLOOKUP(D45,'Upis rezultata D sektora'!$E$2:$G$13,2,FALSE),"")</f>
      </c>
      <c r="G45" s="189">
        <f>IF(ISNUMBER(I42)=TRUE,VLOOKUP(C47,'Upis rezultata D sektora'!$D$2:$H$13,5,FALSE),"")</f>
      </c>
      <c r="H45" s="189">
        <f>IF(ISBLANK(D45)=TRUE,"",IF(ISNUMBER(I42)=TRUE,VLOOKUP(D45,'Pojedinačni plasman'!$A$6:$G$65,7,FALSE),""))</f>
      </c>
      <c r="I45" s="477"/>
      <c r="J45" s="478"/>
      <c r="L45" s="185">
        <f>IF(ISNUMBER(N45)=TRUE,VLOOKUP(L47,'Upis rezultata D sektora'!$D$2:$G$13,4,0),"")</f>
      </c>
      <c r="M45" s="186">
        <f>IF(ISNUMBER(R42)=TRUE,VLOOKUP(L47,'Upis rezultata D sektora'!$D$2:$E$13,2,FALSE),"")</f>
      </c>
      <c r="N45" s="187">
        <f>IF(ISNUMBER(R42)=TRUE,VLOOKUP(M45,'Upis rezultata D sektora'!$E$2:$I$13,5,FALSE),"")</f>
      </c>
      <c r="O45" s="188">
        <f>IF(ISNUMBER(N45)=TRUE,VLOOKUP(M45,'Upis rezultata D sektora'!$E$2:$G$13,2,FALSE),"")</f>
      </c>
      <c r="P45" s="189">
        <f>IF(ISNUMBER(R42)=TRUE,VLOOKUP(L47,'Upis rezultata D sektora'!$D$2:$H$13,5,FALSE),"")</f>
      </c>
      <c r="Q45" s="189">
        <f>IF(ISBLANK(M45)=TRUE,"",IF(ISNUMBER(R42)=TRUE,VLOOKUP(M45,'Pojedinačni plasman'!$A$6:$G$65,7,FALSE),""))</f>
      </c>
      <c r="R45" s="477"/>
      <c r="S45" s="478"/>
    </row>
    <row r="46" spans="3:19" s="68" customFormat="1" ht="15.75" customHeight="1">
      <c r="C46" s="185">
        <f>IF(ISNUMBER(E46)=TRUE,VLOOKUP(C47,'Upis rezultata E sektora'!$D$2:$G$13,4,0),"")</f>
      </c>
      <c r="D46" s="186">
        <f>IF(ISNUMBER(I42)=TRUE,VLOOKUP(C47,'Upis rezultata E sektora'!$D$2:$E$13,2,FALSE),"")</f>
      </c>
      <c r="E46" s="187">
        <f>IF(ISNUMBER(I42)=TRUE,VLOOKUP(D46,'Upis rezultata E sektora'!$E$2:$I$13,5,FALSE),"")</f>
      </c>
      <c r="F46" s="188">
        <f>IF(ISNUMBER(E46)=TRUE,VLOOKUP(D46,'Upis rezultata E sektora'!$E$2:$G$13,2,FALSE),"")</f>
      </c>
      <c r="G46" s="189">
        <f>IF(ISNUMBER(I42)=TRUE,VLOOKUP(C47,'Upis rezultata E sektora'!$D$2:$H$13,5,FALSE),"")</f>
      </c>
      <c r="H46" s="189">
        <f>IF(ISBLANK(D46)=TRUE,"",IF(ISNUMBER(I42)=TRUE,VLOOKUP(D46,'Pojedinačni plasman'!$A$6:$G$65,7,FALSE),""))</f>
      </c>
      <c r="I46" s="477"/>
      <c r="J46" s="478"/>
      <c r="L46" s="185">
        <f>IF(ISNUMBER(N46)=TRUE,VLOOKUP(L47,'Upis rezultata E sektora'!$D$2:$G$13,4,0),"")</f>
      </c>
      <c r="M46" s="186">
        <f>IF(ISNUMBER(R42)=TRUE,VLOOKUP(L47,'Upis rezultata E sektora'!$D$2:$E$13,2,FALSE),"")</f>
      </c>
      <c r="N46" s="187">
        <f>IF(ISNUMBER(R42)=TRUE,VLOOKUP(M46,'Upis rezultata E sektora'!$E$2:$I$13,5,FALSE),"")</f>
      </c>
      <c r="O46" s="188">
        <f>IF(ISNUMBER(N46)=TRUE,VLOOKUP(M46,'Upis rezultata E sektora'!$E$2:$G$13,2,FALSE),"")</f>
      </c>
      <c r="P46" s="189">
        <f>IF(ISNUMBER(R42)=TRUE,VLOOKUP(L47,'Upis rezultata E sektora'!$D$2:$H$13,5,FALSE),"")</f>
      </c>
      <c r="Q46" s="189">
        <f>IF(ISBLANK(M46)=TRUE,"",IF(ISNUMBER(R42)=TRUE,VLOOKUP(M46,'Pojedinačni plasman'!$A$6:$G$65,7,FALSE),""))</f>
      </c>
      <c r="R46" s="477"/>
      <c r="S46" s="478"/>
    </row>
    <row r="47" spans="3:19" s="83" customFormat="1" ht="21" thickBot="1">
      <c r="C47" s="472">
        <f>IF(ISNONTEXT('Ekipni plasman'!$B$10)=TRUE,"",'Ekipni plasman'!$B$10)</f>
      </c>
      <c r="D47" s="473"/>
      <c r="E47" s="474"/>
      <c r="F47" s="190">
        <f>VLOOKUP(C47,'Ekipni plasman'!$B$6:$F$17,3,FALSE)</f>
      </c>
      <c r="G47" s="351">
        <f>VLOOKUP(C47,'Ekipni plasman'!$B$6:$F$17,2,FALSE)</f>
      </c>
      <c r="H47" s="171"/>
      <c r="I47" s="479"/>
      <c r="J47" s="480"/>
      <c r="L47" s="472">
        <f>IF(ISNONTEXT('Ekipni plasman'!$B$16)=TRUE,"",'Ekipni plasman'!$B$16)</f>
      </c>
      <c r="M47" s="473"/>
      <c r="N47" s="474"/>
      <c r="O47" s="190">
        <f>VLOOKUP(L47,'Ekipni plasman'!$B$6:$F$17,3,FALSE)</f>
      </c>
      <c r="P47" s="351">
        <f>VLOOKUP(L47,'Ekipni plasman'!$B$6:$F$17,2,FALSE)</f>
      </c>
      <c r="Q47" s="171"/>
      <c r="R47" s="479"/>
      <c r="S47" s="480"/>
    </row>
    <row r="48" ht="15.75" thickBot="1"/>
    <row r="49" spans="3:19" s="68" customFormat="1" ht="15" customHeight="1">
      <c r="C49" s="180">
        <f>IF(ISNUMBER(E49)=TRUE,VLOOKUP(C54,'Upis rezultata A sektora'!$D$2:$I$13,6,0),"")</f>
      </c>
      <c r="D49" s="181">
        <f>IF(ISNUMBER(I49)=TRUE,VLOOKUP(C54,'Upis rezultata A sektora'!$D$2:$E$13,2,FALSE),"")</f>
      </c>
      <c r="E49" s="182">
        <f>IF(ISNUMBER(I49)=TRUE,VLOOKUP(D49,'Upis rezultata A sektora'!$E$2:$G$13,3,FALSE),"")</f>
      </c>
      <c r="F49" s="183">
        <f>IF(ISNUMBER(E49)=TRUE,VLOOKUP(D49,'Upis rezultata A sektora'!$E$2:$G$13,2,FALSE),"")</f>
      </c>
      <c r="G49" s="184">
        <f>IF(ISNUMBER(I49)=TRUE,VLOOKUP(C54,'Upis rezultata A sektora'!$D$2:$H$13,5,FALSE),"")</f>
      </c>
      <c r="H49" s="184">
        <f>IF(ISBLANK(D49)=TRUE,"",IF(ISNUMBER(I49)=TRUE,VLOOKUP(D49,'Pojedinačni plasman'!$A$6:$G$65,7,FALSE),""))</f>
      </c>
      <c r="I49" s="475">
        <f>VLOOKUP(C54,'Ekipni plasman'!$B$6:$F$17,5,FALSE)</f>
      </c>
      <c r="J49" s="476"/>
      <c r="L49" s="180">
        <f>IF(ISNUMBER(N49)=TRUE,VLOOKUP(L54,'Upis rezultata A sektora'!$D$2:$I$13,6,0),"")</f>
      </c>
      <c r="M49" s="181">
        <f>IF(ISNUMBER(R49)=TRUE,VLOOKUP(L54,'Upis rezultata A sektora'!$D$2:$E$13,2,FALSE),"")</f>
      </c>
      <c r="N49" s="182">
        <f>IF(ISNUMBER(R49)=TRUE,VLOOKUP(M49,'Upis rezultata A sektora'!$E$2:$G$13,3,FALSE),"")</f>
      </c>
      <c r="O49" s="183">
        <f>IF(ISNUMBER(N49)=TRUE,VLOOKUP(M49,'Upis rezultata A sektora'!$E$2:$G$13,2,FALSE),"")</f>
      </c>
      <c r="P49" s="184">
        <f>IF(ISNUMBER(R49)=TRUE,VLOOKUP(L54,'Upis rezultata A sektora'!$D$2:$H$13,5,FALSE),"")</f>
      </c>
      <c r="Q49" s="184">
        <f>IF(ISBLANK(M49)=TRUE,"",IF(ISNUMBER(R49)=TRUE,VLOOKUP(M49,'Pojedinačni plasman'!$A$6:$G$65,7,FALSE),""))</f>
      </c>
      <c r="R49" s="475">
        <f>VLOOKUP(L54,'Ekipni plasman'!$B$6:$F$17,5,FALSE)</f>
      </c>
      <c r="S49" s="476"/>
    </row>
    <row r="50" spans="3:19" s="68" customFormat="1" ht="15.75" customHeight="1">
      <c r="C50" s="185">
        <f>IF(ISNUMBER(E50)=TRUE,VLOOKUP(C54,'Upis rezultata B sektora'!$D$2:$G$13,4,0),"")</f>
      </c>
      <c r="D50" s="186">
        <f>IF(ISNUMBER(I49)=TRUE,VLOOKUP(C54,'Upis rezultata B sektora'!$D$2:$E$13,2,FALSE),"")</f>
      </c>
      <c r="E50" s="187">
        <f>IF(ISNUMBER(I49)=TRUE,VLOOKUP(D50,'Upis rezultata B sektora'!$E$2:$I$13,5,FALSE),"")</f>
      </c>
      <c r="F50" s="188">
        <f>IF(ISNUMBER(E50)=TRUE,VLOOKUP(D50,'Upis rezultata B sektora'!$E$2:$G$13,2,FALSE),"")</f>
      </c>
      <c r="G50" s="189">
        <f>IF(ISNUMBER(I49)=TRUE,VLOOKUP(C54,'Upis rezultata B sektora'!$D$2:$H$13,5,FALSE),"")</f>
      </c>
      <c r="H50" s="189">
        <f>IF(ISBLANK(D50)=TRUE,"",IF(ISNUMBER(I49)=TRUE,VLOOKUP(D50,'Pojedinačni plasman'!$A$6:$G$65,7,FALSE),""))</f>
      </c>
      <c r="I50" s="477"/>
      <c r="J50" s="478"/>
      <c r="L50" s="185">
        <f>IF(ISNUMBER(N50)=TRUE,VLOOKUP(L54,'Upis rezultata B sektora'!$D$2:$G$13,4,0),"")</f>
      </c>
      <c r="M50" s="186">
        <f>IF(ISNUMBER(R49)=TRUE,VLOOKUP(L54,'Upis rezultata B sektora'!$D$2:$E$13,2,FALSE),"")</f>
      </c>
      <c r="N50" s="187">
        <f>IF(ISNUMBER(R49)=TRUE,VLOOKUP(M50,'Upis rezultata B sektora'!$E$2:$I$13,5,FALSE),"")</f>
      </c>
      <c r="O50" s="188">
        <f>IF(ISNUMBER(N50)=TRUE,VLOOKUP(M50,'Upis rezultata B sektora'!$E$2:$G$13,2,FALSE),"")</f>
      </c>
      <c r="P50" s="189">
        <f>IF(ISNUMBER(R49)=TRUE,VLOOKUP(L54,'Upis rezultata B sektora'!$D$2:$H$13,5,FALSE),"")</f>
      </c>
      <c r="Q50" s="189">
        <f>IF(ISBLANK(M50)=TRUE,"",IF(ISNUMBER(R49)=TRUE,VLOOKUP(M50,'Pojedinačni plasman'!$A$6:$G$65,7,FALSE),""))</f>
      </c>
      <c r="R50" s="477"/>
      <c r="S50" s="478"/>
    </row>
    <row r="51" spans="3:19" s="68" customFormat="1" ht="15.75" customHeight="1">
      <c r="C51" s="185">
        <f>IF(ISNUMBER(E51)=TRUE,VLOOKUP(C54,'Upis rezultata C sektora'!$D$2:$G$13,4,0),"")</f>
      </c>
      <c r="D51" s="186">
        <f>IF(ISNUMBER(I49)=TRUE,VLOOKUP(C54,'Upis rezultata C sektora'!$D$2:$E$13,2,FALSE),"")</f>
      </c>
      <c r="E51" s="187">
        <f>IF(ISNUMBER(I49)=TRUE,VLOOKUP(D51,'Upis rezultata C sektora'!$E$2:$I$13,5,FALSE),"")</f>
      </c>
      <c r="F51" s="188">
        <f>IF(ISNUMBER(E51)=TRUE,VLOOKUP(D51,'Upis rezultata C sektora'!$E$2:$G$13,2,FALSE),"")</f>
      </c>
      <c r="G51" s="189">
        <f>IF(ISNUMBER(I49)=TRUE,VLOOKUP(C54,'Upis rezultata C sektora'!$D$2:$H$13,5,FALSE),"")</f>
      </c>
      <c r="H51" s="189">
        <f>IF(ISBLANK(D51)=TRUE,"",IF(ISNUMBER(I49)=TRUE,VLOOKUP(D51,'Pojedinačni plasman'!$A$6:$G$65,7,FALSE),""))</f>
      </c>
      <c r="I51" s="477"/>
      <c r="J51" s="478"/>
      <c r="L51" s="185">
        <f>IF(ISNUMBER(N51)=TRUE,VLOOKUP(L54,'Upis rezultata C sektora'!$D$2:$G$13,4,0),"")</f>
      </c>
      <c r="M51" s="186">
        <f>IF(ISNUMBER(R49)=TRUE,VLOOKUP(L54,'Upis rezultata C sektora'!$D$2:$E$13,2,FALSE),"")</f>
      </c>
      <c r="N51" s="187">
        <f>IF(ISNUMBER(R49)=TRUE,VLOOKUP(M51,'Upis rezultata C sektora'!$E$2:$I$13,5,FALSE),"")</f>
      </c>
      <c r="O51" s="188">
        <f>IF(ISNUMBER(N51)=TRUE,VLOOKUP(M51,'Upis rezultata C sektora'!$E$2:$G$13,2,FALSE),"")</f>
      </c>
      <c r="P51" s="189">
        <f>IF(ISNUMBER(R49)=TRUE,VLOOKUP(L54,'Upis rezultata C sektora'!$D$2:$H$13,5,FALSE),"")</f>
      </c>
      <c r="Q51" s="189">
        <f>IF(ISBLANK(M51)=TRUE,"",IF(ISNUMBER(R49)=TRUE,VLOOKUP(M51,'Pojedinačni plasman'!$A$6:$G$65,7,FALSE),""))</f>
      </c>
      <c r="R51" s="477"/>
      <c r="S51" s="478"/>
    </row>
    <row r="52" spans="3:19" s="68" customFormat="1" ht="15.75" customHeight="1">
      <c r="C52" s="185">
        <f>IF(ISNUMBER(E52)=TRUE,VLOOKUP(C54,'Upis rezultata D sektora'!$D$2:$G$13,4,0),"")</f>
      </c>
      <c r="D52" s="186">
        <f>IF(ISNUMBER(I49)=TRUE,VLOOKUP(C54,'Upis rezultata D sektora'!$D$2:$E$13,2,FALSE),"")</f>
      </c>
      <c r="E52" s="187">
        <f>IF(ISNUMBER(I49)=TRUE,VLOOKUP(D52,'Upis rezultata D sektora'!$E$2:$I$13,5,FALSE),"")</f>
      </c>
      <c r="F52" s="188">
        <f>IF(ISNUMBER(E52)=TRUE,VLOOKUP(D52,'Upis rezultata D sektora'!$E$2:$G$13,2,FALSE),"")</f>
      </c>
      <c r="G52" s="189">
        <f>IF(ISNUMBER(I49)=TRUE,VLOOKUP(C54,'Upis rezultata D sektora'!$D$2:$H$13,5,FALSE),"")</f>
      </c>
      <c r="H52" s="189">
        <f>IF(ISBLANK(D52)=TRUE,"",IF(ISNUMBER(I49)=TRUE,VLOOKUP(D52,'Pojedinačni plasman'!$A$6:$G$65,7,FALSE),""))</f>
      </c>
      <c r="I52" s="477"/>
      <c r="J52" s="478"/>
      <c r="L52" s="185">
        <f>IF(ISNUMBER(N52)=TRUE,VLOOKUP(L54,'Upis rezultata D sektora'!$D$2:$G$13,4,0),"")</f>
      </c>
      <c r="M52" s="186">
        <f>IF(ISNUMBER(R49)=TRUE,VLOOKUP(L54,'Upis rezultata D sektora'!$D$2:$E$13,2,FALSE),"")</f>
      </c>
      <c r="N52" s="187">
        <f>IF(ISNUMBER(R49)=TRUE,VLOOKUP(M52,'Upis rezultata D sektora'!$E$2:$I$13,5,FALSE),"")</f>
      </c>
      <c r="O52" s="188">
        <f>IF(ISNUMBER(N52)=TRUE,VLOOKUP(M52,'Upis rezultata D sektora'!$E$2:$G$13,2,FALSE),"")</f>
      </c>
      <c r="P52" s="189">
        <f>IF(ISNUMBER(R49)=TRUE,VLOOKUP(L54,'Upis rezultata D sektora'!$D$2:$H$13,5,FALSE),"")</f>
      </c>
      <c r="Q52" s="189">
        <f>IF(ISBLANK(M52)=TRUE,"",IF(ISNUMBER(R49)=TRUE,VLOOKUP(M52,'Pojedinačni plasman'!$A$6:$G$65,7,FALSE),""))</f>
      </c>
      <c r="R52" s="477"/>
      <c r="S52" s="478"/>
    </row>
    <row r="53" spans="3:19" s="68" customFormat="1" ht="15.75" customHeight="1">
      <c r="C53" s="185">
        <f>IF(ISNUMBER(E53)=TRUE,VLOOKUP(C54,'Upis rezultata E sektora'!$D$2:$G$13,4,0),"")</f>
      </c>
      <c r="D53" s="186">
        <f>IF(ISNUMBER(I49)=TRUE,VLOOKUP(C54,'Upis rezultata E sektora'!$D$2:$E$13,2,FALSE),"")</f>
      </c>
      <c r="E53" s="187">
        <f>IF(ISNUMBER(I49)=TRUE,VLOOKUP(D53,'Upis rezultata E sektora'!$E$2:$I$13,5,FALSE),"")</f>
      </c>
      <c r="F53" s="188">
        <f>IF(ISNUMBER(E53)=TRUE,VLOOKUP(D53,'Upis rezultata E sektora'!$E$2:$G$13,2,FALSE),"")</f>
      </c>
      <c r="G53" s="189">
        <f>IF(ISNUMBER(I49)=TRUE,VLOOKUP(C54,'Upis rezultata E sektora'!$D$2:$H$13,5,FALSE),"")</f>
      </c>
      <c r="H53" s="189">
        <f>IF(ISBLANK(D53)=TRUE,"",IF(ISNUMBER(I49)=TRUE,VLOOKUP(D53,'Pojedinačni plasman'!$A$6:$G$65,7,FALSE),""))</f>
      </c>
      <c r="I53" s="477"/>
      <c r="J53" s="478"/>
      <c r="L53" s="185">
        <f>IF(ISNUMBER(N53)=TRUE,VLOOKUP(L54,'Upis rezultata E sektora'!$D$2:$G$13,4,0),"")</f>
      </c>
      <c r="M53" s="186">
        <f>IF(ISNUMBER(R49)=TRUE,VLOOKUP(L54,'Upis rezultata E sektora'!$D$2:$E$13,2,FALSE),"")</f>
      </c>
      <c r="N53" s="187">
        <f>IF(ISNUMBER(R49)=TRUE,VLOOKUP(M53,'Upis rezultata E sektora'!$E$2:$I$13,5,FALSE),"")</f>
      </c>
      <c r="O53" s="188">
        <f>IF(ISNUMBER(N53)=TRUE,VLOOKUP(M53,'Upis rezultata E sektora'!$E$2:$G$13,2,FALSE),"")</f>
      </c>
      <c r="P53" s="189">
        <f>IF(ISNUMBER(R49)=TRUE,VLOOKUP(L54,'Upis rezultata E sektora'!$D$2:$H$13,5,FALSE),"")</f>
      </c>
      <c r="Q53" s="189">
        <f>IF(ISBLANK(M53)=TRUE,"",IF(ISNUMBER(R49)=TRUE,VLOOKUP(M53,'Pojedinačni plasman'!$A$6:$G$65,7,FALSE),""))</f>
      </c>
      <c r="R53" s="477"/>
      <c r="S53" s="478"/>
    </row>
    <row r="54" spans="3:19" s="83" customFormat="1" ht="21" thickBot="1">
      <c r="C54" s="472">
        <f>IF(ISNONTEXT('Ekipni plasman'!$B$11)=TRUE,"",'Ekipni plasman'!$B$11)</f>
      </c>
      <c r="D54" s="473"/>
      <c r="E54" s="474"/>
      <c r="F54" s="190">
        <f>VLOOKUP(C54,'Ekipni plasman'!$B$6:$F$17,3,FALSE)</f>
      </c>
      <c r="G54" s="351">
        <f>VLOOKUP(C54,'Ekipni plasman'!$B$6:$F$17,2,FALSE)</f>
      </c>
      <c r="H54" s="171"/>
      <c r="I54" s="479"/>
      <c r="J54" s="480"/>
      <c r="L54" s="472">
        <f>IF(ISNONTEXT('Ekipni plasman'!$B$17)=TRUE,"",'Ekipni plasman'!$B$17)</f>
      </c>
      <c r="M54" s="473"/>
      <c r="N54" s="474"/>
      <c r="O54" s="190">
        <f>VLOOKUP(L54,'Ekipni plasman'!$B$6:$F$17,3,FALSE)</f>
      </c>
      <c r="P54" s="351">
        <f>VLOOKUP(L54,'Ekipni plasman'!$B$6:$F$17,2,FALSE)</f>
      </c>
      <c r="Q54" s="171"/>
      <c r="R54" s="479"/>
      <c r="S54" s="480"/>
    </row>
    <row r="57" spans="3:19" s="68" customFormat="1" ht="20.25">
      <c r="C57" s="31"/>
      <c r="D57" s="191" t="s">
        <v>142</v>
      </c>
      <c r="E57" s="31"/>
      <c r="F57" s="120"/>
      <c r="G57" s="126"/>
      <c r="H57" s="191" t="s">
        <v>11</v>
      </c>
      <c r="I57" s="104"/>
      <c r="J57" s="31"/>
      <c r="L57" s="31"/>
      <c r="M57" s="191" t="s">
        <v>125</v>
      </c>
      <c r="N57" s="31"/>
      <c r="O57" s="120"/>
      <c r="P57" s="126"/>
      <c r="Q57" s="191" t="s">
        <v>126</v>
      </c>
      <c r="R57" s="191">
        <f>IF(ISNUMBER(I14)=TRUE,"1/1","")</f>
      </c>
      <c r="S57" s="31"/>
    </row>
    <row r="58" spans="3:19" s="68" customFormat="1" ht="20.25">
      <c r="C58" s="31"/>
      <c r="D58" s="191">
        <f>IF(ISBLANK('Organizacija natjecanja'!$H$20)=TRUE,"",'Organizacija natjecanja'!$H$20)</f>
      </c>
      <c r="E58" s="31"/>
      <c r="F58" s="120"/>
      <c r="G58" s="126"/>
      <c r="H58" s="191">
        <f>IF(ISBLANK('Organizacija natjecanja'!$H$16)=TRUE,"",'Organizacija natjecanja'!$H$16)</f>
      </c>
      <c r="I58" s="104"/>
      <c r="J58" s="31"/>
      <c r="L58" s="31"/>
      <c r="M58" s="191">
        <f>IF(ISBLANK('Organizacija natjecanja'!$H$18)=TRUE,"",'Organizacija natjecanja'!$H$18)</f>
      </c>
      <c r="N58" s="31"/>
      <c r="O58" s="120"/>
      <c r="P58" s="126"/>
      <c r="Q58" s="31"/>
      <c r="R58" s="104"/>
      <c r="S58" s="31"/>
    </row>
  </sheetData>
  <sheetProtection password="C7E2" sheet="1" objects="1" scenarios="1"/>
  <mergeCells count="26">
    <mergeCell ref="R42:S47"/>
    <mergeCell ref="R49:S54"/>
    <mergeCell ref="I21:J26"/>
    <mergeCell ref="R21:S26"/>
    <mergeCell ref="R28:S33"/>
    <mergeCell ref="I35:J40"/>
    <mergeCell ref="R35:S40"/>
    <mergeCell ref="I12:J12"/>
    <mergeCell ref="R12:S12"/>
    <mergeCell ref="I14:J19"/>
    <mergeCell ref="R14:S19"/>
    <mergeCell ref="C47:E47"/>
    <mergeCell ref="L47:N47"/>
    <mergeCell ref="C19:E19"/>
    <mergeCell ref="L19:N19"/>
    <mergeCell ref="C26:E26"/>
    <mergeCell ref="L26:N26"/>
    <mergeCell ref="C54:E54"/>
    <mergeCell ref="L54:N54"/>
    <mergeCell ref="I49:J54"/>
    <mergeCell ref="I42:J47"/>
    <mergeCell ref="C33:E33"/>
    <mergeCell ref="L33:N33"/>
    <mergeCell ref="C40:E40"/>
    <mergeCell ref="L40:N40"/>
    <mergeCell ref="I28:J33"/>
  </mergeCells>
  <printOptions horizontalCentered="1" verticalCentered="1"/>
  <pageMargins left="0.57" right="0.51" top="0.44" bottom="3.37" header="3.79" footer="0.44"/>
  <pageSetup horizontalDpi="300" verticalDpi="300" orientation="portrait" paperSize="9" scale="56" r:id="rId5"/>
  <headerFooter alignWithMargins="0">
    <oddHeader>&amp;C&amp;G</oddHeader>
    <oddFooter>&amp;C&amp;"Arial,Kurziv"&amp;14&amp;YProgram za izračun rezultata i provođenje natjecanja&amp;R&amp;18&amp;D  &amp;T h</oddFooter>
  </headerFooter>
  <drawing r:id="rId3"/>
  <legacyDrawing r:id="rId2"/>
  <legacyDrawingHF r:id="rId4"/>
</worksheet>
</file>

<file path=xl/worksheets/sheet16.xml><?xml version="1.0" encoding="utf-8"?>
<worksheet xmlns="http://schemas.openxmlformats.org/spreadsheetml/2006/main" xmlns:r="http://schemas.openxmlformats.org/officeDocument/2006/relationships">
  <sheetPr codeName="Sheet20">
    <tabColor indexed="11"/>
  </sheetPr>
  <dimension ref="A1:Q49"/>
  <sheetViews>
    <sheetView showRowColHeaders="0" zoomScale="75" zoomScaleNormal="75" zoomScalePageLayoutView="0" workbookViewId="0" topLeftCell="A1">
      <selection activeCell="F10" sqref="F10"/>
    </sheetView>
  </sheetViews>
  <sheetFormatPr defaultColWidth="9.140625" defaultRowHeight="12.75"/>
  <cols>
    <col min="1" max="1" width="5.140625" style="7" customWidth="1"/>
    <col min="2" max="2" width="25.7109375" style="6" customWidth="1"/>
    <col min="3" max="3" width="8.57421875" style="7" customWidth="1"/>
    <col min="4" max="4" width="11.7109375" style="82" customWidth="1"/>
    <col min="5" max="5" width="9.140625" style="126" customWidth="1"/>
    <col min="6" max="6" width="9.140625" style="7" customWidth="1"/>
    <col min="7" max="7" width="10.140625" style="56" customWidth="1"/>
    <col min="8" max="8" width="10.28125" style="7" customWidth="1"/>
    <col min="9" max="9" width="8.00390625" style="6" customWidth="1"/>
    <col min="10" max="10" width="5.140625" style="7" customWidth="1"/>
    <col min="11" max="11" width="25.7109375" style="6" customWidth="1"/>
    <col min="12" max="12" width="8.57421875" style="7" customWidth="1"/>
    <col min="13" max="13" width="11.7109375" style="82" customWidth="1"/>
    <col min="14" max="14" width="9.140625" style="126" customWidth="1"/>
    <col min="15" max="15" width="9.140625" style="7" customWidth="1"/>
    <col min="16" max="16" width="10.140625" style="56" customWidth="1"/>
    <col min="17" max="17" width="10.00390625" style="7" customWidth="1"/>
    <col min="18" max="16384" width="9.140625" style="6" customWidth="1"/>
  </cols>
  <sheetData>
    <row r="1" spans="1:17" s="107" customFormat="1" ht="31.5">
      <c r="A1" s="106" t="s">
        <v>119</v>
      </c>
      <c r="C1" s="108"/>
      <c r="D1" s="109"/>
      <c r="E1" s="124"/>
      <c r="F1" s="108"/>
      <c r="G1" s="108"/>
      <c r="H1" s="108"/>
      <c r="I1" s="143">
        <f>IF(ISNONTEXT('Organizacija natjecanja'!H2)=TRUE,"",'Organizacija natjecanja'!H2)</f>
      </c>
      <c r="J1" s="108"/>
      <c r="L1" s="108"/>
      <c r="M1" s="109"/>
      <c r="N1" s="124"/>
      <c r="O1" s="108"/>
      <c r="P1" s="108"/>
      <c r="Q1" s="108"/>
    </row>
    <row r="2" spans="1:17" s="80" customFormat="1" ht="23.25">
      <c r="A2" s="79" t="s">
        <v>120</v>
      </c>
      <c r="C2" s="108">
        <f>IF(ISNONTEXT('Organizacija natjecanja'!H4)=TRUE,"",'Organizacija natjecanja'!H4)</f>
      </c>
      <c r="D2" s="110"/>
      <c r="E2" s="124"/>
      <c r="F2" s="81"/>
      <c r="G2" s="81" t="s">
        <v>121</v>
      </c>
      <c r="H2" s="106">
        <f>IF(ISNONTEXT('Organizacija natjecanja'!H5)=TRUE,"",'Organizacija natjecanja'!H5)</f>
      </c>
      <c r="J2" s="81"/>
      <c r="L2" s="81"/>
      <c r="M2" s="111" t="s">
        <v>122</v>
      </c>
      <c r="N2" s="124"/>
      <c r="O2" s="139">
        <f>IF(ISBLANK('Organizacija natjecanja'!$H$9)=TRUE,"",'Organizacija natjecanja'!$H$9)</f>
      </c>
      <c r="P2" s="81"/>
      <c r="Q2" s="81"/>
    </row>
    <row r="4" spans="1:17" s="86" customFormat="1" ht="25.5">
      <c r="A4" s="84" t="s">
        <v>76</v>
      </c>
      <c r="B4" s="84" t="s">
        <v>54</v>
      </c>
      <c r="C4" s="84" t="s">
        <v>22</v>
      </c>
      <c r="D4" s="85" t="s">
        <v>92</v>
      </c>
      <c r="E4" s="85" t="s">
        <v>123</v>
      </c>
      <c r="F4" s="85" t="s">
        <v>141</v>
      </c>
      <c r="G4" s="85" t="s">
        <v>81</v>
      </c>
      <c r="H4" s="85" t="s">
        <v>124</v>
      </c>
      <c r="I4" s="65"/>
      <c r="J4" s="85" t="s">
        <v>76</v>
      </c>
      <c r="K4" s="85" t="s">
        <v>54</v>
      </c>
      <c r="L4" s="85" t="s">
        <v>22</v>
      </c>
      <c r="M4" s="85" t="s">
        <v>92</v>
      </c>
      <c r="N4" s="85" t="s">
        <v>123</v>
      </c>
      <c r="O4" s="85" t="s">
        <v>141</v>
      </c>
      <c r="P4" s="85" t="s">
        <v>81</v>
      </c>
      <c r="Q4" s="84" t="s">
        <v>124</v>
      </c>
    </row>
    <row r="5" spans="1:17" s="68" customFormat="1" ht="15.75">
      <c r="A5" s="31"/>
      <c r="C5" s="31"/>
      <c r="D5" s="120"/>
      <c r="E5" s="126"/>
      <c r="F5" s="31"/>
      <c r="G5" s="104"/>
      <c r="H5" s="31"/>
      <c r="J5" s="31"/>
      <c r="L5" s="31"/>
      <c r="M5" s="120"/>
      <c r="N5" s="126"/>
      <c r="O5" s="31"/>
      <c r="P5" s="104"/>
      <c r="Q5" s="31"/>
    </row>
    <row r="6" spans="1:17" s="68" customFormat="1" ht="15">
      <c r="A6" s="105">
        <f>IF(ISNUMBER(E6)=TRUE,VLOOKUP(A11,'Upis rezultata A sektora'!$D$2:$I$13,6,0),"")</f>
      </c>
      <c r="B6" s="69">
        <f>IF(ISNUMBER(G6)=TRUE,VLOOKUP(A11,'Upis rezultata A sektora'!$D$2:$E$13,2,FALSE),"")</f>
      </c>
      <c r="C6" s="105">
        <f>IF(ISNUMBER(G6)=TRUE,VLOOKUP(B6,'Upis rezultata A sektora'!$E$2:$G$13,3,FALSE),"")</f>
      </c>
      <c r="D6" s="88">
        <f>IF(ISNUMBER(C6)=TRUE,VLOOKUP(B6,'Upis rezultata A sektora'!$E$2:$G$13,2,FALSE),"")</f>
      </c>
      <c r="E6" s="125">
        <f>IF(ISNUMBER(G6)=TRUE,VLOOKUP(A11,'Upis rezultata A sektora'!$D$2:$H$13,5,FALSE),"")</f>
      </c>
      <c r="F6" s="119">
        <f>IF(ISBLANK(B6)=TRUE,"",IF(ISNUMBER(G6)=TRUE,VLOOKUP(B6,'Pojedinačni plasman'!$A$6:$G$65,7,FALSE),""))</f>
      </c>
      <c r="G6" s="486">
        <f>IF(ISNONTEXT('Ekipni plasman'!$B$6)=TRUE,"",'Ekipni plasman'!$F$6)</f>
      </c>
      <c r="H6" s="483">
        <f>IF(ISNUMBER(G6)=TRUE,G6,"")</f>
      </c>
      <c r="J6" s="105">
        <f>IF(ISNUMBER(N6)=TRUE,VLOOKUP(J11,'Upis rezultata A sektora'!$D$2:$I$13,6,0),"")</f>
      </c>
      <c r="K6" s="69">
        <f>IF(ISNUMBER(P6)=TRUE,VLOOKUP(J11,'Upis rezultata A sektora'!$D$2:$E$13,2,FALSE),"")</f>
      </c>
      <c r="L6" s="105">
        <f>IF(ISNUMBER(P6)=TRUE,VLOOKUP(K6,'Upis rezultata A sektora'!$E$2:$G$13,3,FALSE),"")</f>
      </c>
      <c r="M6" s="88">
        <f>IF(ISNUMBER(L6)=TRUE,VLOOKUP(K6,'Upis rezultata A sektora'!$E$2:$G$13,2,FALSE),"")</f>
      </c>
      <c r="N6" s="125">
        <f>IF(ISNUMBER(P6)=TRUE,VLOOKUP(J11,'Upis rezultata A sektora'!$D$2:$H$13,5,FALSE),"")</f>
      </c>
      <c r="O6" s="119">
        <f>IF(ISBLANK(K6)=TRUE,"",IF(ISNUMBER(P6)=TRUE,VLOOKUP(K6,'Pojedinačni plasman'!$A$6:$G$65,7,FALSE),""))</f>
      </c>
      <c r="P6" s="486">
        <f>IF(ISNONTEXT('Ekipni plasman'!$B$12)=TRUE,"",'Ekipni plasman'!$F$12)</f>
      </c>
      <c r="Q6" s="483">
        <f>IF(ISNUMBER(P6)=TRUE,P6,"")</f>
      </c>
    </row>
    <row r="7" spans="1:17" s="68" customFormat="1" ht="15.75" customHeight="1">
      <c r="A7" s="105">
        <f>IF(ISNUMBER(E7)=TRUE,VLOOKUP(A11,'Upis rezultata B sektora'!$D$2:$G$13,4,0),"")</f>
      </c>
      <c r="B7" s="69">
        <f>IF(ISNUMBER(G6)=TRUE,VLOOKUP(A11,'Upis rezultata B sektora'!$D$2:$E$13,2,FALSE),"")</f>
      </c>
      <c r="C7" s="105">
        <f>IF(ISNUMBER(G6)=TRUE,VLOOKUP(B7,'Upis rezultata B sektora'!$E$2:$I$13,5,FALSE),"")</f>
      </c>
      <c r="D7" s="88">
        <f>IF(ISNUMBER(C7)=TRUE,VLOOKUP(B7,'Upis rezultata B sektora'!$E$2:$G$13,2,FALSE),"")</f>
      </c>
      <c r="E7" s="125">
        <f>IF(ISNUMBER(G6)=TRUE,VLOOKUP(A11,'Upis rezultata B sektora'!$D$2:$H$13,5,FALSE),"")</f>
      </c>
      <c r="F7" s="119">
        <f>IF(ISBLANK(B7)=TRUE,"",IF(ISNUMBER(G6)=TRUE,VLOOKUP(B7,'Pojedinačni plasman'!$A$6:$G$65,7,FALSE),""))</f>
      </c>
      <c r="G7" s="487"/>
      <c r="H7" s="484"/>
      <c r="J7" s="105">
        <f>IF(ISNUMBER(N7)=TRUE,VLOOKUP(J11,'Upis rezultata B sektora'!$D$2:$G$13,4,0),"")</f>
      </c>
      <c r="K7" s="69">
        <f>IF(ISNUMBER(P6)=TRUE,VLOOKUP(J11,'Upis rezultata B sektora'!$D$2:$E$13,2,FALSE),"")</f>
      </c>
      <c r="L7" s="105">
        <f>IF(ISNUMBER(P6)=TRUE,VLOOKUP(K7,'Upis rezultata B sektora'!$E$2:$I$13,5,FALSE),"")</f>
      </c>
      <c r="M7" s="88">
        <f>IF(ISNUMBER(L7)=TRUE,VLOOKUP(K7,'Upis rezultata B sektora'!$E$2:$G$13,2,FALSE),"")</f>
      </c>
      <c r="N7" s="125">
        <f>IF(ISNUMBER(P6)=TRUE,VLOOKUP(J11,'Upis rezultata B sektora'!$D$2:$H$13,5,FALSE),"")</f>
      </c>
      <c r="O7" s="119">
        <f>IF(ISBLANK(K7)=TRUE,"",IF(ISNUMBER(P6)=TRUE,VLOOKUP(K7,'Pojedinačni plasman'!$A$6:$G$65,7,FALSE),""))</f>
      </c>
      <c r="P7" s="487"/>
      <c r="Q7" s="484"/>
    </row>
    <row r="8" spans="1:17" s="68" customFormat="1" ht="15.75" customHeight="1">
      <c r="A8" s="105">
        <f>IF(ISNUMBER(E8)=TRUE,VLOOKUP(A11,'Upis rezultata C sektora'!$D$2:$G$13,4,0),"")</f>
      </c>
      <c r="B8" s="69">
        <f>IF(ISNUMBER(G6)=TRUE,VLOOKUP(A11,'Upis rezultata C sektora'!$D$2:$E$13,2,FALSE),"")</f>
      </c>
      <c r="C8" s="105">
        <f>IF(ISNUMBER(G6)=TRUE,VLOOKUP(B8,'Upis rezultata C sektora'!$E$2:$I$13,5,FALSE),"")</f>
      </c>
      <c r="D8" s="88">
        <f>IF(ISNUMBER(C8)=TRUE,VLOOKUP(B8,'Upis rezultata C sektora'!$E$2:$G$13,2,FALSE),"")</f>
      </c>
      <c r="E8" s="125">
        <f>IF(ISNUMBER(G6)=TRUE,VLOOKUP(A11,'Upis rezultata C sektora'!$D$2:$H$13,5,FALSE),"")</f>
      </c>
      <c r="F8" s="119">
        <f>IF(ISBLANK(B8)=TRUE,"",IF(ISNUMBER(G6)=TRUE,VLOOKUP(B8,'Pojedinačni plasman'!$A$6:$G$65,7,FALSE),""))</f>
      </c>
      <c r="G8" s="487"/>
      <c r="H8" s="484"/>
      <c r="J8" s="105">
        <f>IF(ISNUMBER(N8)=TRUE,VLOOKUP(J11,'Upis rezultata C sektora'!$D$2:$G$13,4,0),"")</f>
      </c>
      <c r="K8" s="69">
        <f>IF(ISNUMBER(P6)=TRUE,VLOOKUP(J11,'Upis rezultata C sektora'!$D$2:$E$13,2,FALSE),"")</f>
      </c>
      <c r="L8" s="105">
        <f>IF(ISNUMBER(P6)=TRUE,VLOOKUP(K8,'Upis rezultata C sektora'!$E$2:$I$13,5,FALSE),"")</f>
      </c>
      <c r="M8" s="88">
        <f>IF(ISNUMBER(L8)=TRUE,VLOOKUP(K8,'Upis rezultata C sektora'!$E$2:$G$13,2,FALSE),"")</f>
      </c>
      <c r="N8" s="125">
        <f>IF(ISNUMBER(P6)=TRUE,VLOOKUP(J11,'Upis rezultata C sektora'!$D$2:$H$13,5,FALSE),"")</f>
      </c>
      <c r="O8" s="119">
        <f>IF(ISBLANK(K8)=TRUE,"",IF(ISNUMBER(P6)=TRUE,VLOOKUP(K8,'Pojedinačni plasman'!$A$6:$G$65,7,FALSE),""))</f>
      </c>
      <c r="P8" s="487"/>
      <c r="Q8" s="484"/>
    </row>
    <row r="9" spans="1:17" s="68" customFormat="1" ht="15.75" customHeight="1">
      <c r="A9" s="105">
        <f>IF(ISNUMBER(E9)=TRUE,VLOOKUP(A11,'Upis rezultata D sektora'!$D$2:$G$13,4,0),"")</f>
      </c>
      <c r="B9" s="69">
        <f>IF(ISNUMBER(G6)=TRUE,VLOOKUP(A11,'Upis rezultata D sektora'!$D$2:$E$13,2,FALSE),"")</f>
      </c>
      <c r="C9" s="105">
        <f>IF(ISNUMBER(G6)=TRUE,VLOOKUP(B9,'Upis rezultata D sektora'!$E$2:$I$13,5,FALSE),"")</f>
      </c>
      <c r="D9" s="88">
        <f>IF(ISNUMBER(C9)=TRUE,VLOOKUP(B9,'Upis rezultata D sektora'!$E$2:$G$13,2,FALSE),"")</f>
      </c>
      <c r="E9" s="125">
        <f>IF(ISNUMBER(G6)=TRUE,VLOOKUP(A11,'Upis rezultata D sektora'!$D$2:$H$13,5,FALSE),"")</f>
      </c>
      <c r="F9" s="119">
        <f>IF(ISBLANK(B9)=TRUE,"",IF(ISNUMBER(G6)=TRUE,VLOOKUP(B9,'Pojedinačni plasman'!$A$6:$G$65,7,FALSE),""))</f>
      </c>
      <c r="G9" s="487"/>
      <c r="H9" s="484"/>
      <c r="J9" s="105">
        <f>IF(ISNUMBER(N9)=TRUE,VLOOKUP(J11,'Upis rezultata D sektora'!$D$2:$G$13,4,0),"")</f>
      </c>
      <c r="K9" s="69">
        <f>IF(ISNUMBER(P6)=TRUE,VLOOKUP(J11,'Upis rezultata D sektora'!$D$2:$E$13,2,FALSE),"")</f>
      </c>
      <c r="L9" s="105">
        <f>IF(ISNUMBER(P6)=TRUE,VLOOKUP(K9,'Upis rezultata D sektora'!$E$2:$I$13,5,FALSE),"")</f>
      </c>
      <c r="M9" s="88">
        <f>IF(ISNUMBER(L9)=TRUE,VLOOKUP(K9,'Upis rezultata D sektora'!$E$2:$G$13,2,FALSE),"")</f>
      </c>
      <c r="N9" s="125">
        <f>IF(ISNUMBER(P6)=TRUE,VLOOKUP(J11,'Upis rezultata D sektora'!$D$2:$H$13,5,FALSE),"")</f>
      </c>
      <c r="O9" s="119">
        <f>IF(ISBLANK(K9)=TRUE,"",IF(ISNUMBER(P6)=TRUE,VLOOKUP(K9,'Pojedinačni plasman'!$A$6:$G$65,7,FALSE),""))</f>
      </c>
      <c r="P9" s="487"/>
      <c r="Q9" s="484"/>
    </row>
    <row r="10" spans="1:17" s="68" customFormat="1" ht="15.75" customHeight="1">
      <c r="A10" s="105">
        <f>IF(ISNUMBER(E10)=TRUE,VLOOKUP(A11,'Upis rezultata E sektora'!$D$2:$G$13,4,0),"")</f>
      </c>
      <c r="B10" s="69">
        <f>IF(ISNUMBER(G6)=TRUE,VLOOKUP(A11,'Upis rezultata E sektora'!$D$2:$E$13,2,FALSE),"")</f>
      </c>
      <c r="C10" s="105">
        <f>IF(ISNUMBER(G6)=TRUE,VLOOKUP(B10,'Upis rezultata E sektora'!$E$2:$I$13,5,FALSE),"")</f>
      </c>
      <c r="D10" s="88">
        <f>IF(ISNUMBER(C10)=TRUE,VLOOKUP(B10,'Upis rezultata E sektora'!$E$2:$G$13,2,FALSE),"")</f>
      </c>
      <c r="E10" s="125">
        <f>IF(ISNUMBER(G6)=TRUE,VLOOKUP(A11,'Upis rezultata E sektora'!$D$2:$H$13,5,FALSE),"")</f>
      </c>
      <c r="F10" s="119">
        <f>IF(ISBLANK(B10)=TRUE,"",IF(ISNUMBER(G6)=TRUE,VLOOKUP(B10,'Pojedinačni plasman'!$A$6:$G$65,7,FALSE),""))</f>
      </c>
      <c r="G10" s="487"/>
      <c r="H10" s="484"/>
      <c r="J10" s="105">
        <f>IF(ISNUMBER(N10)=TRUE,VLOOKUP(J11,'Upis rezultata E sektora'!$D$2:$G$13,4,0),"")</f>
      </c>
      <c r="K10" s="69">
        <f>IF(ISNUMBER(P6)=TRUE,VLOOKUP(J11,'Upis rezultata E sektora'!$D$2:$E$13,2,FALSE),"")</f>
      </c>
      <c r="L10" s="105">
        <f>IF(ISNUMBER(P6)=TRUE,VLOOKUP(K10,'Upis rezultata E sektora'!$E$2:$I$13,5,FALSE),"")</f>
      </c>
      <c r="M10" s="88">
        <f>IF(ISNUMBER(L10)=TRUE,VLOOKUP(K10,'Upis rezultata E sektora'!$E$2:$G$13,2,FALSE),"")</f>
      </c>
      <c r="N10" s="125">
        <f>IF(ISNUMBER(P6)=TRUE,VLOOKUP(J11,'Upis rezultata E sektora'!$D$2:$H$13,5,FALSE),"")</f>
      </c>
      <c r="O10" s="119">
        <f>IF(ISBLANK(K10)=TRUE,"",IF(ISNUMBER(P6)=TRUE,VLOOKUP(K10,'Pojedinačni plasman'!$A$6:$G$65,7,FALSE),""))</f>
      </c>
      <c r="P10" s="487"/>
      <c r="Q10" s="484"/>
    </row>
    <row r="11" spans="1:17" s="83" customFormat="1" ht="20.25">
      <c r="A11" s="489">
        <f>IF(ISNONTEXT('Ekipni plasman'!$B$6)=TRUE,"",'Ekipni plasman'!$B$6)</f>
      </c>
      <c r="B11" s="490"/>
      <c r="C11" s="491"/>
      <c r="D11" s="118">
        <f>IF(ISNONTEXT('Ekipni plasman'!$B$6)=TRUE,"",'Ekipni plasman'!$D$6)</f>
      </c>
      <c r="E11" s="132">
        <f>IF(ISNONTEXT('Ekipni plasman'!$B$6)=TRUE,"",'Ekipni plasman'!$C$6)</f>
      </c>
      <c r="F11" s="87"/>
      <c r="G11" s="488"/>
      <c r="H11" s="485"/>
      <c r="J11" s="489">
        <f>IF(ISNONTEXT('Ekipni plasman'!$B$12)=TRUE,"",'Ekipni plasman'!$B$12)</f>
      </c>
      <c r="K11" s="490"/>
      <c r="L11" s="491"/>
      <c r="M11" s="118">
        <f>IF(ISNONTEXT('Ekipni plasman'!$B$12)=TRUE,"",'Ekipni plasman'!$D$12)</f>
      </c>
      <c r="N11" s="132">
        <f>IF(ISNONTEXT('Ekipni plasman'!$B$12)=TRUE,"",'Ekipni plasman'!$C$12)</f>
      </c>
      <c r="O11" s="87"/>
      <c r="P11" s="488"/>
      <c r="Q11" s="485"/>
    </row>
    <row r="13" spans="1:17" s="68" customFormat="1" ht="15">
      <c r="A13" s="105">
        <f>IF(ISNUMBER(E13)=TRUE,VLOOKUP(A18,'Upis rezultata A sektora'!$D$2:$I$13,6,0),"")</f>
      </c>
      <c r="B13" s="69">
        <f>IF(ISNUMBER(G13)=TRUE,VLOOKUP(A18,'Upis rezultata A sektora'!$D$2:$E$13,2,FALSE),"")</f>
      </c>
      <c r="C13" s="105">
        <f>IF(ISNUMBER(G13)=TRUE,VLOOKUP(B13,'Upis rezultata A sektora'!$E$2:$G$13,3,FALSE),"")</f>
      </c>
      <c r="D13" s="88">
        <f>IF(ISNUMBER(C13)=TRUE,VLOOKUP(B13,'Upis rezultata A sektora'!$E$2:$G$13,2,FALSE),"")</f>
      </c>
      <c r="E13" s="125">
        <f>IF(ISNUMBER(G13)=TRUE,VLOOKUP(A18,'Upis rezultata A sektora'!$D$2:$H$13,5,FALSE),"")</f>
      </c>
      <c r="F13" s="119">
        <f>IF(ISBLANK(B13)=TRUE,"",IF(ISNUMBER(G13)=TRUE,VLOOKUP(B13,'Pojedinačni plasman'!$A$6:$G$65,7,FALSE),""))</f>
      </c>
      <c r="G13" s="486">
        <f>IF(ISNONTEXT('Ekipni plasman'!$B$7)=TRUE,"",'Ekipni plasman'!$F$7)</f>
      </c>
      <c r="H13" s="483">
        <f>IF(ISNUMBER(G13)=TRUE,G13,"")</f>
      </c>
      <c r="J13" s="105">
        <f>IF(ISNUMBER(N13)=TRUE,VLOOKUP(J18,'Upis rezultata A sektora'!$D$2:$I$13,6,0),"")</f>
      </c>
      <c r="K13" s="69">
        <f>IF(ISNUMBER(P13)=TRUE,VLOOKUP(J18,'Upis rezultata A sektora'!$D$2:$E$13,2,FALSE),"")</f>
      </c>
      <c r="L13" s="105">
        <f>IF(ISNUMBER(P13)=TRUE,VLOOKUP(K13,'Upis rezultata A sektora'!$E$2:$G$13,3,FALSE),"")</f>
      </c>
      <c r="M13" s="88">
        <f>IF(ISNUMBER(L13)=TRUE,VLOOKUP(K13,'Upis rezultata A sektora'!$E$2:$G$13,2,FALSE),"")</f>
      </c>
      <c r="N13" s="125">
        <f>IF(ISNUMBER(P13)=TRUE,VLOOKUP(J18,'Upis rezultata A sektora'!$D$2:$H$13,5,FALSE),"")</f>
      </c>
      <c r="O13" s="119">
        <f>IF(ISBLANK(K13)=TRUE,"",IF(ISNUMBER(P13)=TRUE,VLOOKUP(K13,'Pojedinačni plasman'!$A$6:$G$65,7,FALSE),""))</f>
      </c>
      <c r="P13" s="486">
        <f>IF(ISNONTEXT('Ekipni plasman'!$B$13)=TRUE,"",'Ekipni plasman'!$F$13)</f>
      </c>
      <c r="Q13" s="483">
        <f>IF(ISNUMBER(P13)=TRUE,P13,"")</f>
      </c>
    </row>
    <row r="14" spans="1:17" s="68" customFormat="1" ht="15.75" customHeight="1">
      <c r="A14" s="105">
        <f>IF(ISNUMBER(E14)=TRUE,VLOOKUP(A18,'Upis rezultata B sektora'!$D$2:$G$13,4,0),"")</f>
      </c>
      <c r="B14" s="69">
        <f>IF(ISNUMBER(G13)=TRUE,VLOOKUP(A18,'Upis rezultata B sektora'!$D$2:$E$13,2,FALSE),"")</f>
      </c>
      <c r="C14" s="105">
        <f>IF(ISNUMBER(G13)=TRUE,VLOOKUP(B14,'Upis rezultata B sektora'!$E$2:$I$13,5,FALSE),"")</f>
      </c>
      <c r="D14" s="88">
        <f>IF(ISNUMBER(C14)=TRUE,VLOOKUP(B14,'Upis rezultata B sektora'!$E$2:$G$13,2,FALSE),"")</f>
      </c>
      <c r="E14" s="125">
        <f>IF(ISNUMBER(G13)=TRUE,VLOOKUP(A18,'Upis rezultata B sektora'!$D$2:$H$13,5,FALSE),"")</f>
      </c>
      <c r="F14" s="119">
        <f>IF(ISBLANK(B14)=TRUE,"",IF(ISNUMBER(G13)=TRUE,VLOOKUP(B14,'Pojedinačni plasman'!$A$6:$G$65,7,FALSE),""))</f>
      </c>
      <c r="G14" s="487"/>
      <c r="H14" s="484"/>
      <c r="J14" s="105">
        <f>IF(ISNUMBER(N14)=TRUE,VLOOKUP(J18,'Upis rezultata B sektora'!$D$2:$G$13,4,0),"")</f>
      </c>
      <c r="K14" s="69">
        <f>IF(ISNUMBER(P13)=TRUE,VLOOKUP(J18,'Upis rezultata B sektora'!$D$2:$E$13,2,FALSE),"")</f>
      </c>
      <c r="L14" s="105">
        <f>IF(ISNUMBER(P13)=TRUE,VLOOKUP(K14,'Upis rezultata B sektora'!$E$2:$I$13,5,FALSE),"")</f>
      </c>
      <c r="M14" s="88">
        <f>IF(ISNUMBER(L14)=TRUE,VLOOKUP(K14,'Upis rezultata B sektora'!$E$2:$G$13,2,FALSE),"")</f>
      </c>
      <c r="N14" s="125">
        <f>IF(ISNUMBER(P13)=TRUE,VLOOKUP(J18,'Upis rezultata B sektora'!$D$2:$H$13,5,FALSE),"")</f>
      </c>
      <c r="O14" s="119">
        <f>IF(ISBLANK(K14)=TRUE,"",IF(ISNUMBER(P13)=TRUE,VLOOKUP(K14,'Pojedinačni plasman'!$A$6:$G$65,7,FALSE),""))</f>
      </c>
      <c r="P14" s="487"/>
      <c r="Q14" s="484"/>
    </row>
    <row r="15" spans="1:17" s="68" customFormat="1" ht="15.75" customHeight="1">
      <c r="A15" s="105">
        <f>IF(ISNUMBER(E15)=TRUE,VLOOKUP(A18,'Upis rezultata C sektora'!$D$2:$G$13,4,0),"")</f>
      </c>
      <c r="B15" s="69">
        <f>IF(ISNUMBER(G13)=TRUE,VLOOKUP(A18,'Upis rezultata C sektora'!$D$2:$E$13,2,FALSE),"")</f>
      </c>
      <c r="C15" s="105">
        <f>IF(ISNUMBER(G13)=TRUE,VLOOKUP(B15,'Upis rezultata C sektora'!$E$2:$I$13,5,FALSE),"")</f>
      </c>
      <c r="D15" s="88">
        <f>IF(ISNUMBER(C15)=TRUE,VLOOKUP(B15,'Upis rezultata C sektora'!$E$2:$G$13,2,FALSE),"")</f>
      </c>
      <c r="E15" s="125">
        <f>IF(ISNUMBER(G13)=TRUE,VLOOKUP(A18,'Upis rezultata C sektora'!$D$2:$H$13,5,FALSE),"")</f>
      </c>
      <c r="F15" s="119">
        <f>IF(ISBLANK(B15)=TRUE,"",IF(ISNUMBER(G13)=TRUE,VLOOKUP(B15,'Pojedinačni plasman'!$A$6:$G$65,7,FALSE),""))</f>
      </c>
      <c r="G15" s="487"/>
      <c r="H15" s="484"/>
      <c r="J15" s="105">
        <f>IF(ISNUMBER(N15)=TRUE,VLOOKUP(J18,'Upis rezultata C sektora'!$D$2:$G$13,4,0),"")</f>
      </c>
      <c r="K15" s="69">
        <f>IF(ISNUMBER(P13)=TRUE,VLOOKUP(J18,'Upis rezultata C sektora'!$D$2:$E$13,2,FALSE),"")</f>
      </c>
      <c r="L15" s="105">
        <f>IF(ISNUMBER(P13)=TRUE,VLOOKUP(K15,'Upis rezultata C sektora'!$E$2:$I$13,5,FALSE),"")</f>
      </c>
      <c r="M15" s="88">
        <f>IF(ISNUMBER(L15)=TRUE,VLOOKUP(K15,'Upis rezultata C sektora'!$E$2:$G$13,2,FALSE),"")</f>
      </c>
      <c r="N15" s="125">
        <f>IF(ISNUMBER(P13)=TRUE,VLOOKUP(J18,'Upis rezultata C sektora'!$D$2:$H$13,5,FALSE),"")</f>
      </c>
      <c r="O15" s="119">
        <f>IF(ISBLANK(K15)=TRUE,"",IF(ISNUMBER(P13)=TRUE,VLOOKUP(K15,'Pojedinačni plasman'!$A$6:$G$65,7,FALSE),""))</f>
      </c>
      <c r="P15" s="487"/>
      <c r="Q15" s="484"/>
    </row>
    <row r="16" spans="1:17" s="68" customFormat="1" ht="15.75" customHeight="1">
      <c r="A16" s="105">
        <f>IF(ISNUMBER(E16)=TRUE,VLOOKUP(A18,'Upis rezultata D sektora'!$D$2:$G$13,4,0),"")</f>
      </c>
      <c r="B16" s="69">
        <f>IF(ISNUMBER(G13)=TRUE,VLOOKUP(A18,'Upis rezultata D sektora'!$D$2:$E$13,2,FALSE),"")</f>
      </c>
      <c r="C16" s="105">
        <f>IF(ISNUMBER(G13)=TRUE,VLOOKUP(B16,'Upis rezultata D sektora'!$E$2:$I$13,5,FALSE),"")</f>
      </c>
      <c r="D16" s="88">
        <f>IF(ISNUMBER(C16)=TRUE,VLOOKUP(B16,'Upis rezultata D sektora'!$E$2:$G$13,2,FALSE),"")</f>
      </c>
      <c r="E16" s="125">
        <f>IF(ISNUMBER(G13)=TRUE,VLOOKUP(A18,'Upis rezultata D sektora'!$D$2:$H$13,5,FALSE),"")</f>
      </c>
      <c r="F16" s="119">
        <f>IF(ISBLANK(B16)=TRUE,"",IF(ISNUMBER(G13)=TRUE,VLOOKUP(B16,'Pojedinačni plasman'!$A$6:$G$65,7,FALSE),""))</f>
      </c>
      <c r="G16" s="487"/>
      <c r="H16" s="484"/>
      <c r="J16" s="105">
        <f>IF(ISNUMBER(N16)=TRUE,VLOOKUP(J18,'Upis rezultata D sektora'!$D$2:$G$13,4,0),"")</f>
      </c>
      <c r="K16" s="69">
        <f>IF(ISNUMBER(P13)=TRUE,VLOOKUP(J18,'Upis rezultata D sektora'!$D$2:$E$13,2,FALSE),"")</f>
      </c>
      <c r="L16" s="105">
        <f>IF(ISNUMBER(P13)=TRUE,VLOOKUP(K16,'Upis rezultata D sektora'!$E$2:$I$13,5,FALSE),"")</f>
      </c>
      <c r="M16" s="88">
        <f>IF(ISNUMBER(L16)=TRUE,VLOOKUP(K16,'Upis rezultata D sektora'!$E$2:$G$13,2,FALSE),"")</f>
      </c>
      <c r="N16" s="125">
        <f>IF(ISNUMBER(P13)=TRUE,VLOOKUP(J18,'Upis rezultata D sektora'!$D$2:$H$13,5,FALSE),"")</f>
      </c>
      <c r="O16" s="119">
        <f>IF(ISBLANK(K16)=TRUE,"",IF(ISNUMBER(P13)=TRUE,VLOOKUP(K16,'Pojedinačni plasman'!$A$6:$G$65,7,FALSE),""))</f>
      </c>
      <c r="P16" s="487"/>
      <c r="Q16" s="484"/>
    </row>
    <row r="17" spans="1:17" s="68" customFormat="1" ht="15.75" customHeight="1">
      <c r="A17" s="105">
        <f>IF(ISNUMBER(E17)=TRUE,VLOOKUP(A18,'Upis rezultata E sektora'!$D$2:$G$13,4,0),"")</f>
      </c>
      <c r="B17" s="69">
        <f>IF(ISNUMBER(G13)=TRUE,VLOOKUP(A18,'Upis rezultata E sektora'!$D$2:$E$13,2,FALSE),"")</f>
      </c>
      <c r="C17" s="105">
        <f>IF(ISNUMBER(G13)=TRUE,VLOOKUP(B17,'Upis rezultata E sektora'!$E$2:$I$13,5,FALSE),"")</f>
      </c>
      <c r="D17" s="88">
        <f>IF(ISNUMBER(C17)=TRUE,VLOOKUP(B17,'Upis rezultata E sektora'!$E$2:$G$13,2,FALSE),"")</f>
      </c>
      <c r="E17" s="125">
        <f>IF(ISNUMBER(G13)=TRUE,VLOOKUP(A18,'Upis rezultata E sektora'!$D$2:$H$13,5,FALSE),"")</f>
      </c>
      <c r="F17" s="119">
        <f>IF(ISBLANK(B17)=TRUE,"",IF(ISNUMBER(G13)=TRUE,VLOOKUP(B17,'Pojedinačni plasman'!$A$6:$G$65,7,FALSE),""))</f>
      </c>
      <c r="G17" s="487"/>
      <c r="H17" s="484"/>
      <c r="J17" s="105">
        <f>IF(ISNUMBER(N17)=TRUE,VLOOKUP(J18,'Upis rezultata E sektora'!$D$2:$G$13,4,0),"")</f>
      </c>
      <c r="K17" s="69">
        <f>IF(ISNUMBER(P13)=TRUE,VLOOKUP(J18,'Upis rezultata E sektora'!$D$2:$E$13,2,FALSE),"")</f>
      </c>
      <c r="L17" s="105">
        <f>IF(ISNUMBER(P13)=TRUE,VLOOKUP(K17,'Upis rezultata E sektora'!$E$2:$I$13,5,FALSE),"")</f>
      </c>
      <c r="M17" s="88">
        <f>IF(ISNUMBER(L17)=TRUE,VLOOKUP(K17,'Upis rezultata E sektora'!$E$2:$G$13,2,FALSE),"")</f>
      </c>
      <c r="N17" s="125">
        <f>IF(ISNUMBER(P13)=TRUE,VLOOKUP(J18,'Upis rezultata E sektora'!$D$2:$H$13,5,FALSE),"")</f>
      </c>
      <c r="O17" s="119">
        <f>IF(ISBLANK(K17)=TRUE,"",IF(ISNUMBER(P13)=TRUE,VLOOKUP(K17,'Pojedinačni plasman'!$A$6:$G$65,7,FALSE),""))</f>
      </c>
      <c r="P17" s="487"/>
      <c r="Q17" s="484"/>
    </row>
    <row r="18" spans="1:17" s="83" customFormat="1" ht="20.25">
      <c r="A18" s="489">
        <f>IF(ISNONTEXT('Ekipni plasman'!$B$7)=TRUE,"",'Ekipni plasman'!$B$7)</f>
      </c>
      <c r="B18" s="490"/>
      <c r="C18" s="491"/>
      <c r="D18" s="118">
        <f>IF(ISNONTEXT('Ekipni plasman'!$B$7)=TRUE,"",'Ekipni plasman'!$D$7)</f>
      </c>
      <c r="E18" s="132">
        <f>IF(ISNONTEXT('Ekipni plasman'!$B$7)=TRUE,"",'Ekipni plasman'!$C$7)</f>
      </c>
      <c r="F18" s="87"/>
      <c r="G18" s="488"/>
      <c r="H18" s="485"/>
      <c r="J18" s="489">
        <f>IF(ISNONTEXT('Ekipni plasman'!$B$13)=TRUE,"",'Ekipni plasman'!$B$13)</f>
      </c>
      <c r="K18" s="490"/>
      <c r="L18" s="491"/>
      <c r="M18" s="118">
        <f>IF(ISNONTEXT('Ekipni plasman'!$B$13)=TRUE,"",'Ekipni plasman'!$D$13)</f>
      </c>
      <c r="N18" s="132">
        <f>IF(ISNONTEXT('Ekipni plasman'!$B$13)=TRUE,"",'Ekipni plasman'!$C$13)</f>
      </c>
      <c r="O18" s="87"/>
      <c r="P18" s="488"/>
      <c r="Q18" s="485"/>
    </row>
    <row r="20" spans="1:17" s="68" customFormat="1" ht="15">
      <c r="A20" s="105">
        <f>IF(ISNUMBER(E20)=TRUE,VLOOKUP(A25,'Upis rezultata A sektora'!$D$2:$I$13,6,0),"")</f>
      </c>
      <c r="B20" s="69">
        <f>IF(ISNUMBER(G20)=TRUE,VLOOKUP(A25,'Upis rezultata A sektora'!$D$2:$E$13,2,FALSE),"")</f>
      </c>
      <c r="C20" s="105">
        <f>IF(ISNUMBER(G20)=TRUE,VLOOKUP(B20,'Upis rezultata A sektora'!$E$2:$G$13,3,FALSE),"")</f>
      </c>
      <c r="D20" s="88">
        <f>IF(ISNUMBER(C20)=TRUE,VLOOKUP(B20,'Upis rezultata A sektora'!$E$2:$G$13,2,FALSE),"")</f>
      </c>
      <c r="E20" s="125">
        <f>IF(ISNUMBER(G20)=TRUE,VLOOKUP(A25,'Upis rezultata A sektora'!$D$2:$H$13,5,FALSE),"")</f>
      </c>
      <c r="F20" s="119">
        <f>IF(ISBLANK(B20)=TRUE,"",IF(ISNUMBER(G20)=TRUE,VLOOKUP(B20,'Pojedinačni plasman'!$A$6:$G$65,7,FALSE),""))</f>
      </c>
      <c r="G20" s="486">
        <f>IF(ISNONTEXT('Ekipni plasman'!$B$8)=TRUE,"",'Ekipni plasman'!$F$8)</f>
      </c>
      <c r="H20" s="483">
        <f>IF(ISNUMBER(G20)=TRUE,G20,"")</f>
      </c>
      <c r="J20" s="105">
        <f>IF(ISNUMBER(N20)=TRUE,VLOOKUP(J25,'Upis rezultata A sektora'!$D$2:$I$13,6,0),"")</f>
      </c>
      <c r="K20" s="69">
        <f>IF(ISNUMBER(P20)=TRUE,VLOOKUP(J25,'Upis rezultata A sektora'!$D$2:$E$13,2,FALSE),"")</f>
      </c>
      <c r="L20" s="105">
        <f>IF(ISNUMBER(P20)=TRUE,VLOOKUP(K20,'Upis rezultata A sektora'!$E$2:$G$13,3,FALSE),"")</f>
      </c>
      <c r="M20" s="88">
        <f>IF(ISNUMBER(L20)=TRUE,VLOOKUP(K20,'Upis rezultata A sektora'!$E$2:$G$13,2,FALSE),"")</f>
      </c>
      <c r="N20" s="125">
        <f>IF(ISNUMBER(P20)=TRUE,VLOOKUP(J25,'Upis rezultata A sektora'!$D$2:$H$13,5,FALSE),"")</f>
      </c>
      <c r="O20" s="119">
        <f>IF(ISBLANK(K20)=TRUE,"",IF(ISNUMBER(P20)=TRUE,VLOOKUP(K20,'Pojedinačni plasman'!$A$6:$G$65,7,FALSE),""))</f>
      </c>
      <c r="P20" s="486">
        <f>IF(ISNONTEXT('Ekipni plasman'!$B$14)=TRUE,"",'Ekipni plasman'!$F$14)</f>
      </c>
      <c r="Q20" s="483">
        <f>IF(ISNUMBER(P20)=TRUE,P20,"")</f>
      </c>
    </row>
    <row r="21" spans="1:17" s="68" customFormat="1" ht="15.75" customHeight="1">
      <c r="A21" s="105">
        <f>IF(ISNUMBER(E21)=TRUE,VLOOKUP(A25,'Upis rezultata B sektora'!$D$2:$G$13,4,0),"")</f>
      </c>
      <c r="B21" s="69">
        <f>IF(ISNUMBER(G20)=TRUE,VLOOKUP(A25,'Upis rezultata B sektora'!$D$2:$E$13,2,FALSE),"")</f>
      </c>
      <c r="C21" s="105">
        <f>IF(ISNUMBER(G20)=TRUE,VLOOKUP(B21,'Upis rezultata B sektora'!$E$2:$I$13,5,FALSE),"")</f>
      </c>
      <c r="D21" s="88">
        <f>IF(ISNUMBER(C21)=TRUE,VLOOKUP(B21,'Upis rezultata B sektora'!$E$2:$G$13,2,FALSE),"")</f>
      </c>
      <c r="E21" s="125">
        <f>IF(ISNUMBER(G20)=TRUE,VLOOKUP(A25,'Upis rezultata B sektora'!$D$2:$H$13,5,FALSE),"")</f>
      </c>
      <c r="F21" s="119">
        <f>IF(ISBLANK(B21)=TRUE,"",IF(ISNUMBER(G20)=TRUE,VLOOKUP(B21,'Pojedinačni plasman'!$A$6:$G$65,7,FALSE),""))</f>
      </c>
      <c r="G21" s="487"/>
      <c r="H21" s="484"/>
      <c r="J21" s="105">
        <f>IF(ISNUMBER(N21)=TRUE,VLOOKUP(J25,'Upis rezultata B sektora'!$D$2:$G$13,4,0),"")</f>
      </c>
      <c r="K21" s="69">
        <f>IF(ISNUMBER(P20)=TRUE,VLOOKUP(J25,'Upis rezultata B sektora'!$D$2:$E$13,2,FALSE),"")</f>
      </c>
      <c r="L21" s="105">
        <f>IF(ISNUMBER(P20)=TRUE,VLOOKUP(K21,'Upis rezultata B sektora'!$E$2:$I$13,5,FALSE),"")</f>
      </c>
      <c r="M21" s="88">
        <f>IF(ISNUMBER(L21)=TRUE,VLOOKUP(K21,'Upis rezultata B sektora'!$E$2:$G$13,2,FALSE),"")</f>
      </c>
      <c r="N21" s="125">
        <f>IF(ISNUMBER(P20)=TRUE,VLOOKUP(J25,'Upis rezultata B sektora'!$D$2:$H$13,5,FALSE),"")</f>
      </c>
      <c r="O21" s="119">
        <f>IF(ISBLANK(K21)=TRUE,"",IF(ISNUMBER(P20)=TRUE,VLOOKUP(K21,'Pojedinačni plasman'!$A$6:$G$65,7,FALSE),""))</f>
      </c>
      <c r="P21" s="487"/>
      <c r="Q21" s="484"/>
    </row>
    <row r="22" spans="1:17" s="68" customFormat="1" ht="15.75" customHeight="1">
      <c r="A22" s="105">
        <f>IF(ISNUMBER(E22)=TRUE,VLOOKUP(A25,'Upis rezultata C sektora'!$D$2:$G$13,4,0),"")</f>
      </c>
      <c r="B22" s="69">
        <f>IF(ISNUMBER(G20)=TRUE,VLOOKUP(A25,'Upis rezultata C sektora'!$D$2:$E$13,2,FALSE),"")</f>
      </c>
      <c r="C22" s="105">
        <f>IF(ISNUMBER(G20)=TRUE,VLOOKUP(B22,'Upis rezultata C sektora'!$E$2:$I$13,5,FALSE),"")</f>
      </c>
      <c r="D22" s="88">
        <f>IF(ISNUMBER(C22)=TRUE,VLOOKUP(B22,'Upis rezultata C sektora'!$E$2:$G$13,2,FALSE),"")</f>
      </c>
      <c r="E22" s="125">
        <f>IF(ISNUMBER(G20)=TRUE,VLOOKUP(A25,'Upis rezultata C sektora'!$D$2:$H$13,5,FALSE),"")</f>
      </c>
      <c r="F22" s="119">
        <f>IF(ISBLANK(B22)=TRUE,"",IF(ISNUMBER(G20)=TRUE,VLOOKUP(B22,'Pojedinačni plasman'!$A$6:$G$65,7,FALSE),""))</f>
      </c>
      <c r="G22" s="487"/>
      <c r="H22" s="484"/>
      <c r="J22" s="105">
        <f>IF(ISNUMBER(N22)=TRUE,VLOOKUP(J25,'Upis rezultata C sektora'!$D$2:$G$13,4,0),"")</f>
      </c>
      <c r="K22" s="69">
        <f>IF(ISNUMBER(P20)=TRUE,VLOOKUP(J25,'Upis rezultata C sektora'!$D$2:$E$13,2,FALSE),"")</f>
      </c>
      <c r="L22" s="105">
        <f>IF(ISNUMBER(P20)=TRUE,VLOOKUP(K22,'Upis rezultata C sektora'!$E$2:$I$13,5,FALSE),"")</f>
      </c>
      <c r="M22" s="88">
        <f>IF(ISNUMBER(L22)=TRUE,VLOOKUP(K22,'Upis rezultata C sektora'!$E$2:$G$13,2,FALSE),"")</f>
      </c>
      <c r="N22" s="125">
        <f>IF(ISNUMBER(P20)=TRUE,VLOOKUP(J25,'Upis rezultata C sektora'!$D$2:$H$13,5,FALSE),"")</f>
      </c>
      <c r="O22" s="119">
        <f>IF(ISBLANK(K22)=TRUE,"",IF(ISNUMBER(P20)=TRUE,VLOOKUP(K22,'Pojedinačni plasman'!$A$6:$G$65,7,FALSE),""))</f>
      </c>
      <c r="P22" s="487"/>
      <c r="Q22" s="484"/>
    </row>
    <row r="23" spans="1:17" s="68" customFormat="1" ht="15.75" customHeight="1">
      <c r="A23" s="105">
        <f>IF(ISNUMBER(E23)=TRUE,VLOOKUP(A25,'Upis rezultata D sektora'!$D$2:$G$13,4,0),"")</f>
      </c>
      <c r="B23" s="69">
        <f>IF(ISNUMBER(G20)=TRUE,VLOOKUP(A25,'Upis rezultata D sektora'!$D$2:$E$13,2,FALSE),"")</f>
      </c>
      <c r="C23" s="105">
        <f>IF(ISNUMBER(G20)=TRUE,VLOOKUP(B23,'Upis rezultata D sektora'!$E$2:$I$13,5,FALSE),"")</f>
      </c>
      <c r="D23" s="88">
        <f>IF(ISNUMBER(C23)=TRUE,VLOOKUP(B23,'Upis rezultata D sektora'!$E$2:$G$13,2,FALSE),"")</f>
      </c>
      <c r="E23" s="125">
        <f>IF(ISNUMBER(G20)=TRUE,VLOOKUP(A25,'Upis rezultata D sektora'!$D$2:$H$13,5,FALSE),"")</f>
      </c>
      <c r="F23" s="119">
        <f>IF(ISBLANK(B23)=TRUE,"",IF(ISNUMBER(G20)=TRUE,VLOOKUP(B23,'Pojedinačni plasman'!$A$6:$G$65,7,FALSE),""))</f>
      </c>
      <c r="G23" s="487"/>
      <c r="H23" s="484"/>
      <c r="J23" s="105">
        <f>IF(ISNUMBER(N23)=TRUE,VLOOKUP(J25,'Upis rezultata D sektora'!$D$2:$G$13,4,0),"")</f>
      </c>
      <c r="K23" s="69">
        <f>IF(ISNUMBER(P20)=TRUE,VLOOKUP(J25,'Upis rezultata D sektora'!$D$2:$E$13,2,FALSE),"")</f>
      </c>
      <c r="L23" s="105">
        <f>IF(ISNUMBER(P20)=TRUE,VLOOKUP(K23,'Upis rezultata D sektora'!$E$2:$I$13,5,FALSE),"")</f>
      </c>
      <c r="M23" s="88">
        <f>IF(ISNUMBER(L23)=TRUE,VLOOKUP(K23,'Upis rezultata D sektora'!$E$2:$G$13,2,FALSE),"")</f>
      </c>
      <c r="N23" s="125">
        <f>IF(ISNUMBER(P20)=TRUE,VLOOKUP(J25,'Upis rezultata D sektora'!$D$2:$H$13,5,FALSE),"")</f>
      </c>
      <c r="O23" s="119">
        <f>IF(ISBLANK(K23)=TRUE,"",IF(ISNUMBER(P20)=TRUE,VLOOKUP(K23,'Pojedinačni plasman'!$A$6:$G$65,7,FALSE),""))</f>
      </c>
      <c r="P23" s="487"/>
      <c r="Q23" s="484"/>
    </row>
    <row r="24" spans="1:17" s="68" customFormat="1" ht="15.75" customHeight="1">
      <c r="A24" s="105">
        <f>IF(ISNUMBER(E24)=TRUE,VLOOKUP(A25,'Upis rezultata E sektora'!$D$2:$G$13,4,0),"")</f>
      </c>
      <c r="B24" s="69">
        <f>IF(ISNUMBER(G20)=TRUE,VLOOKUP(A25,'Upis rezultata E sektora'!$D$2:$E$13,2,FALSE),"")</f>
      </c>
      <c r="C24" s="105">
        <f>IF(ISNUMBER(G20)=TRUE,VLOOKUP(B24,'Upis rezultata E sektora'!$E$2:$I$13,5,FALSE),"")</f>
      </c>
      <c r="D24" s="88">
        <f>IF(ISNUMBER(C24)=TRUE,VLOOKUP(B24,'Upis rezultata E sektora'!$E$2:$G$13,2,FALSE),"")</f>
      </c>
      <c r="E24" s="125">
        <f>IF(ISNUMBER(G20)=TRUE,VLOOKUP(A25,'Upis rezultata E sektora'!$D$2:$H$13,5,FALSE),"")</f>
      </c>
      <c r="F24" s="119">
        <f>IF(ISBLANK(B24)=TRUE,"",IF(ISNUMBER(G20)=TRUE,VLOOKUP(B24,'Pojedinačni plasman'!$A$6:$G$65,7,FALSE),""))</f>
      </c>
      <c r="G24" s="487"/>
      <c r="H24" s="484"/>
      <c r="J24" s="105">
        <f>IF(ISNUMBER(N24)=TRUE,VLOOKUP(J25,'Upis rezultata E sektora'!$D$2:$G$13,4,0),"")</f>
      </c>
      <c r="K24" s="69">
        <f>IF(ISNUMBER(P20)=TRUE,VLOOKUP(J25,'Upis rezultata E sektora'!$D$2:$E$13,2,FALSE),"")</f>
      </c>
      <c r="L24" s="105">
        <f>IF(ISNUMBER(P20)=TRUE,VLOOKUP(K24,'Upis rezultata E sektora'!$E$2:$I$13,5,FALSE),"")</f>
      </c>
      <c r="M24" s="88">
        <f>IF(ISNUMBER(L24)=TRUE,VLOOKUP(K24,'Upis rezultata E sektora'!$E$2:$G$13,2,FALSE),"")</f>
      </c>
      <c r="N24" s="125">
        <f>IF(ISNUMBER(P20)=TRUE,VLOOKUP(J25,'Upis rezultata E sektora'!$D$2:$H$13,5,FALSE),"")</f>
      </c>
      <c r="O24" s="119">
        <f>IF(ISBLANK(K24)=TRUE,"",IF(ISNUMBER(P20)=TRUE,VLOOKUP(K24,'Pojedinačni plasman'!$A$6:$G$65,7,FALSE),""))</f>
      </c>
      <c r="P24" s="487"/>
      <c r="Q24" s="484"/>
    </row>
    <row r="25" spans="1:17" s="83" customFormat="1" ht="20.25">
      <c r="A25" s="489">
        <f>IF(ISNONTEXT('Ekipni plasman'!$B$8)=TRUE,"",'Ekipni plasman'!$B$8)</f>
      </c>
      <c r="B25" s="490"/>
      <c r="C25" s="491"/>
      <c r="D25" s="118">
        <f>IF(ISNONTEXT('Ekipni plasman'!$B$8)=TRUE,"",'Ekipni plasman'!$D$8)</f>
      </c>
      <c r="E25" s="132">
        <f>IF(ISNONTEXT('Ekipni plasman'!$B$8)=TRUE,"",'Ekipni plasman'!$C$8)</f>
      </c>
      <c r="F25" s="87"/>
      <c r="G25" s="488"/>
      <c r="H25" s="485"/>
      <c r="J25" s="489">
        <f>IF(ISNONTEXT('Ekipni plasman'!$B$14)=TRUE,"",'Ekipni plasman'!$B$14)</f>
      </c>
      <c r="K25" s="490"/>
      <c r="L25" s="491"/>
      <c r="M25" s="118">
        <f>IF(ISNONTEXT('Ekipni plasman'!$B$14)=TRUE,"",'Ekipni plasman'!$D$14)</f>
      </c>
      <c r="N25" s="132">
        <f>IF(ISNONTEXT('Ekipni plasman'!$B$14)=TRUE,"",'Ekipni plasman'!$C$14)</f>
      </c>
      <c r="O25" s="87"/>
      <c r="P25" s="488"/>
      <c r="Q25" s="485"/>
    </row>
    <row r="27" spans="1:17" s="68" customFormat="1" ht="15">
      <c r="A27" s="105">
        <f>IF(ISNUMBER(E27)=TRUE,VLOOKUP(A32,'Upis rezultata A sektora'!$D$2:$I$13,6,0),"")</f>
      </c>
      <c r="B27" s="69">
        <f>IF(ISNUMBER(G27)=TRUE,VLOOKUP(A32,'Upis rezultata A sektora'!$D$2:$E$13,2,FALSE),"")</f>
      </c>
      <c r="C27" s="105">
        <f>IF(ISNUMBER(G27)=TRUE,VLOOKUP(B27,'Upis rezultata A sektora'!$E$2:$G$13,3,FALSE),"")</f>
      </c>
      <c r="D27" s="88">
        <f>IF(ISNUMBER(C27)=TRUE,VLOOKUP(B27,'Upis rezultata A sektora'!$E$2:$G$13,2,FALSE),"")</f>
      </c>
      <c r="E27" s="125">
        <f>IF(ISNUMBER(G27)=TRUE,VLOOKUP(A32,'Upis rezultata A sektora'!$D$2:$H$13,5,FALSE),"")</f>
      </c>
      <c r="F27" s="119">
        <f>IF(ISBLANK(B27)=TRUE,"",IF(ISNUMBER(G27)=TRUE,VLOOKUP(B27,'Pojedinačni plasman'!$A$6:$G$65,7,FALSE),""))</f>
      </c>
      <c r="G27" s="486">
        <f>IF(ISNONTEXT('Ekipni plasman'!$B$9)=TRUE,"",'Ekipni plasman'!$F$9)</f>
      </c>
      <c r="H27" s="483">
        <f>IF(ISNUMBER(G27)=TRUE,G27,"")</f>
      </c>
      <c r="J27" s="105">
        <f>IF(ISNUMBER(N27)=TRUE,VLOOKUP(J32,'Upis rezultata A sektora'!$D$2:$I$13,6,0),"")</f>
      </c>
      <c r="K27" s="69">
        <f>IF(ISNUMBER(P27)=TRUE,VLOOKUP(J32,'Upis rezultata A sektora'!$D$2:$E$13,2,FALSE),"")</f>
      </c>
      <c r="L27" s="105">
        <f>IF(ISNUMBER(P27)=TRUE,VLOOKUP(K27,'Upis rezultata A sektora'!$E$2:$G$13,3,FALSE),"")</f>
      </c>
      <c r="M27" s="88">
        <f>IF(ISNUMBER(L27)=TRUE,VLOOKUP(K27,'Upis rezultata A sektora'!$E$2:$G$13,2,FALSE),"")</f>
      </c>
      <c r="N27" s="125">
        <f>IF(ISNUMBER(P27)=TRUE,VLOOKUP(J32,'Upis rezultata A sektora'!$D$2:$H$13,5,FALSE),"")</f>
      </c>
      <c r="O27" s="119">
        <f>IF(ISBLANK(K27)=TRUE,"",IF(ISNUMBER(P27)=TRUE,VLOOKUP(K27,'Pojedinačni plasman'!$A$6:$G$65,7,FALSE),""))</f>
      </c>
      <c r="P27" s="486">
        <f>IF(ISNONTEXT('Ekipni plasman'!$B$15)=TRUE,"",'Ekipni plasman'!$F$15)</f>
      </c>
      <c r="Q27" s="483">
        <f>IF(ISNUMBER(P27)=TRUE,P27,"")</f>
      </c>
    </row>
    <row r="28" spans="1:17" s="68" customFormat="1" ht="15.75" customHeight="1">
      <c r="A28" s="105">
        <f>IF(ISNUMBER(E28)=TRUE,VLOOKUP(A32,'Upis rezultata B sektora'!$D$2:$G$13,4,0),"")</f>
      </c>
      <c r="B28" s="69">
        <f>IF(ISNUMBER(G27)=TRUE,VLOOKUP(A32,'Upis rezultata B sektora'!$D$2:$E$13,2,FALSE),"")</f>
      </c>
      <c r="C28" s="105">
        <f>IF(ISNUMBER(G27)=TRUE,VLOOKUP(B28,'Upis rezultata B sektora'!$E$2:$I$13,5,FALSE),"")</f>
      </c>
      <c r="D28" s="88">
        <f>IF(ISNUMBER(C28)=TRUE,VLOOKUP(B28,'Upis rezultata B sektora'!$E$2:$G$13,2,FALSE),"")</f>
      </c>
      <c r="E28" s="125">
        <f>IF(ISNUMBER(G27)=TRUE,VLOOKUP(A32,'Upis rezultata B sektora'!$D$2:$H$13,5,FALSE),"")</f>
      </c>
      <c r="F28" s="119">
        <f>IF(ISBLANK(B28)=TRUE,"",IF(ISNUMBER(G27)=TRUE,VLOOKUP(B28,'Pojedinačni plasman'!$A$6:$G$65,7,FALSE),""))</f>
      </c>
      <c r="G28" s="487"/>
      <c r="H28" s="484"/>
      <c r="J28" s="105">
        <f>IF(ISNUMBER(N28)=TRUE,VLOOKUP(J32,'Upis rezultata B sektora'!$D$2:$G$13,4,0),"")</f>
      </c>
      <c r="K28" s="69">
        <f>IF(ISNUMBER(P27)=TRUE,VLOOKUP(J32,'Upis rezultata B sektora'!$D$2:$E$13,2,FALSE),"")</f>
      </c>
      <c r="L28" s="105">
        <f>IF(ISNUMBER(P27)=TRUE,VLOOKUP(K28,'Upis rezultata B sektora'!$E$2:$I$13,5,FALSE),"")</f>
      </c>
      <c r="M28" s="88">
        <f>IF(ISNUMBER(L28)=TRUE,VLOOKUP(K28,'Upis rezultata B sektora'!$E$2:$G$13,2,FALSE),"")</f>
      </c>
      <c r="N28" s="125">
        <f>IF(ISNUMBER(P27)=TRUE,VLOOKUP(J32,'Upis rezultata B sektora'!$D$2:$H$13,5,FALSE),"")</f>
      </c>
      <c r="O28" s="119">
        <f>IF(ISBLANK(K28)=TRUE,"",IF(ISNUMBER(P27)=TRUE,VLOOKUP(K28,'Pojedinačni plasman'!$A$6:$G$65,7,FALSE),""))</f>
      </c>
      <c r="P28" s="487"/>
      <c r="Q28" s="484"/>
    </row>
    <row r="29" spans="1:17" s="68" customFormat="1" ht="15.75" customHeight="1">
      <c r="A29" s="105">
        <f>IF(ISNUMBER(E29)=TRUE,VLOOKUP(A32,'Upis rezultata C sektora'!$D$2:$G$13,4,0),"")</f>
      </c>
      <c r="B29" s="69">
        <f>IF(ISNUMBER(G27)=TRUE,VLOOKUP(A32,'Upis rezultata C sektora'!$D$2:$E$13,2,FALSE),"")</f>
      </c>
      <c r="C29" s="105">
        <f>IF(ISNUMBER(G27)=TRUE,VLOOKUP(B29,'Upis rezultata C sektora'!$E$2:$I$13,5,FALSE),"")</f>
      </c>
      <c r="D29" s="88">
        <f>IF(ISNUMBER(C29)=TRUE,VLOOKUP(B29,'Upis rezultata C sektora'!$E$2:$G$13,2,FALSE),"")</f>
      </c>
      <c r="E29" s="125">
        <f>IF(ISNUMBER(G27)=TRUE,VLOOKUP(A32,'Upis rezultata C sektora'!$D$2:$H$13,5,FALSE),"")</f>
      </c>
      <c r="F29" s="119">
        <f>IF(ISBLANK(B29)=TRUE,"",IF(ISNUMBER(G27)=TRUE,VLOOKUP(B29,'Pojedinačni plasman'!$A$6:$G$65,7,FALSE),""))</f>
      </c>
      <c r="G29" s="487"/>
      <c r="H29" s="484"/>
      <c r="J29" s="105">
        <f>IF(ISNUMBER(N29)=TRUE,VLOOKUP(J32,'Upis rezultata C sektora'!$D$2:$G$13,4,0),"")</f>
      </c>
      <c r="K29" s="69">
        <f>IF(ISNUMBER(P27)=TRUE,VLOOKUP(J32,'Upis rezultata C sektora'!$D$2:$E$13,2,FALSE),"")</f>
      </c>
      <c r="L29" s="105">
        <f>IF(ISNUMBER(P27)=TRUE,VLOOKUP(K29,'Upis rezultata C sektora'!$E$2:$I$13,5,FALSE),"")</f>
      </c>
      <c r="M29" s="88">
        <f>IF(ISNUMBER(L29)=TRUE,VLOOKUP(K29,'Upis rezultata C sektora'!$E$2:$G$13,2,FALSE),"")</f>
      </c>
      <c r="N29" s="125">
        <f>IF(ISNUMBER(P27)=TRUE,VLOOKUP(J32,'Upis rezultata C sektora'!$D$2:$H$13,5,FALSE),"")</f>
      </c>
      <c r="O29" s="119">
        <f>IF(ISBLANK(K29)=TRUE,"",IF(ISNUMBER(P27)=TRUE,VLOOKUP(K29,'Pojedinačni plasman'!$A$6:$G$65,7,FALSE),""))</f>
      </c>
      <c r="P29" s="487"/>
      <c r="Q29" s="484"/>
    </row>
    <row r="30" spans="1:17" s="68" customFormat="1" ht="15.75" customHeight="1">
      <c r="A30" s="105">
        <f>IF(ISNUMBER(E30)=TRUE,VLOOKUP(A32,'Upis rezultata D sektora'!$D$2:$G$13,4,0),"")</f>
      </c>
      <c r="B30" s="69">
        <f>IF(ISNUMBER(G27)=TRUE,VLOOKUP(A32,'Upis rezultata D sektora'!$D$2:$E$13,2,FALSE),"")</f>
      </c>
      <c r="C30" s="105">
        <f>IF(ISNUMBER(G27)=TRUE,VLOOKUP(B30,'Upis rezultata D sektora'!$E$2:$I$13,5,FALSE),"")</f>
      </c>
      <c r="D30" s="88">
        <f>IF(ISNUMBER(C30)=TRUE,VLOOKUP(B30,'Upis rezultata D sektora'!$E$2:$G$13,2,FALSE),"")</f>
      </c>
      <c r="E30" s="125">
        <f>IF(ISNUMBER(G27)=TRUE,VLOOKUP(A32,'Upis rezultata D sektora'!$D$2:$H$13,5,FALSE),"")</f>
      </c>
      <c r="F30" s="119">
        <f>IF(ISBLANK(B30)=TRUE,"",IF(ISNUMBER(G27)=TRUE,VLOOKUP(B30,'Pojedinačni plasman'!$A$6:$G$65,7,FALSE),""))</f>
      </c>
      <c r="G30" s="487"/>
      <c r="H30" s="484"/>
      <c r="J30" s="105">
        <f>IF(ISNUMBER(N30)=TRUE,VLOOKUP(J32,'Upis rezultata D sektora'!$D$2:$G$13,4,0),"")</f>
      </c>
      <c r="K30" s="69">
        <f>IF(ISNUMBER(P27)=TRUE,VLOOKUP(J32,'Upis rezultata D sektora'!$D$2:$E$13,2,FALSE),"")</f>
      </c>
      <c r="L30" s="105">
        <f>IF(ISNUMBER(P27)=TRUE,VLOOKUP(K30,'Upis rezultata D sektora'!$E$2:$I$13,5,FALSE),"")</f>
      </c>
      <c r="M30" s="88">
        <f>IF(ISNUMBER(L30)=TRUE,VLOOKUP(K30,'Upis rezultata D sektora'!$E$2:$G$13,2,FALSE),"")</f>
      </c>
      <c r="N30" s="125">
        <f>IF(ISNUMBER(P27)=TRUE,VLOOKUP(J32,'Upis rezultata D sektora'!$D$2:$H$13,5,FALSE),"")</f>
      </c>
      <c r="O30" s="119">
        <f>IF(ISBLANK(K30)=TRUE,"",IF(ISNUMBER(P27)=TRUE,VLOOKUP(K30,'Pojedinačni plasman'!$A$6:$G$65,7,FALSE),""))</f>
      </c>
      <c r="P30" s="487"/>
      <c r="Q30" s="484"/>
    </row>
    <row r="31" spans="1:17" s="68" customFormat="1" ht="15.75" customHeight="1">
      <c r="A31" s="105">
        <f>IF(ISNUMBER(E31)=TRUE,VLOOKUP(A32,'Upis rezultata E sektora'!$D$2:$G$13,4,0),"")</f>
      </c>
      <c r="B31" s="69">
        <f>IF(ISNUMBER(G27)=TRUE,VLOOKUP(A32,'Upis rezultata E sektora'!$D$2:$E$13,2,FALSE),"")</f>
      </c>
      <c r="C31" s="105">
        <f>IF(ISNUMBER(G27)=TRUE,VLOOKUP(B31,'Upis rezultata E sektora'!$E$2:$I$13,5,FALSE),"")</f>
      </c>
      <c r="D31" s="88">
        <f>IF(ISNUMBER(C31)=TRUE,VLOOKUP(B31,'Upis rezultata E sektora'!$E$2:$G$13,2,FALSE),"")</f>
      </c>
      <c r="E31" s="125">
        <f>IF(ISNUMBER(G27)=TRUE,VLOOKUP(A32,'Upis rezultata E sektora'!$D$2:$H$13,5,FALSE),"")</f>
      </c>
      <c r="F31" s="119">
        <f>IF(ISBLANK(B31)=TRUE,"",IF(ISNUMBER(G27)=TRUE,VLOOKUP(B31,'Pojedinačni plasman'!$A$6:$G$65,7,FALSE),""))</f>
      </c>
      <c r="G31" s="487"/>
      <c r="H31" s="484"/>
      <c r="J31" s="105">
        <f>IF(ISNUMBER(N31)=TRUE,VLOOKUP(J32,'Upis rezultata E sektora'!$D$2:$G$13,4,0),"")</f>
      </c>
      <c r="K31" s="69">
        <f>IF(ISNUMBER(P27)=TRUE,VLOOKUP(J32,'Upis rezultata E sektora'!$D$2:$E$13,2,FALSE),"")</f>
      </c>
      <c r="L31" s="105">
        <f>IF(ISNUMBER(P27)=TRUE,VLOOKUP(K31,'Upis rezultata E sektora'!$E$2:$I$13,5,FALSE),"")</f>
      </c>
      <c r="M31" s="88">
        <f>IF(ISNUMBER(L31)=TRUE,VLOOKUP(K31,'Upis rezultata E sektora'!$E$2:$G$13,2,FALSE),"")</f>
      </c>
      <c r="N31" s="125">
        <f>IF(ISNUMBER(P27)=TRUE,VLOOKUP(J32,'Upis rezultata E sektora'!$D$2:$H$13,5,FALSE),"")</f>
      </c>
      <c r="O31" s="119">
        <f>IF(ISBLANK(K31)=TRUE,"",IF(ISNUMBER(P27)=TRUE,VLOOKUP(K31,'Pojedinačni plasman'!$A$6:$G$65,7,FALSE),""))</f>
      </c>
      <c r="P31" s="487"/>
      <c r="Q31" s="484"/>
    </row>
    <row r="32" spans="1:17" s="83" customFormat="1" ht="20.25">
      <c r="A32" s="489">
        <f>IF(ISNONTEXT('Ekipni plasman'!$B$9)=TRUE,"",'Ekipni plasman'!$B$9)</f>
      </c>
      <c r="B32" s="490"/>
      <c r="C32" s="491"/>
      <c r="D32" s="118">
        <f>IF(ISNONTEXT('Ekipni plasman'!$B$9)=TRUE,"",'Ekipni plasman'!$D$9)</f>
      </c>
      <c r="E32" s="132">
        <f>IF(ISNONTEXT('Ekipni plasman'!$B$9)=TRUE,"",'Ekipni plasman'!$C$9)</f>
      </c>
      <c r="F32" s="87"/>
      <c r="G32" s="488"/>
      <c r="H32" s="485"/>
      <c r="J32" s="489">
        <f>IF(ISNONTEXT('Ekipni plasman'!$B$15)=TRUE,"",'Ekipni plasman'!$B$15)</f>
      </c>
      <c r="K32" s="490"/>
      <c r="L32" s="491"/>
      <c r="M32" s="118">
        <f>IF(ISNONTEXT('Ekipni plasman'!$B$15)=TRUE,"",'Ekipni plasman'!$D$15)</f>
      </c>
      <c r="N32" s="132">
        <f>IF(ISNONTEXT('Ekipni plasman'!$B$15)=TRUE,"",'Ekipni plasman'!$C$15)</f>
      </c>
      <c r="O32" s="87"/>
      <c r="P32" s="488"/>
      <c r="Q32" s="485"/>
    </row>
    <row r="34" spans="1:17" s="68" customFormat="1" ht="15">
      <c r="A34" s="105">
        <f>IF(ISNUMBER(E34)=TRUE,VLOOKUP(A39,'Upis rezultata A sektora'!$D$2:$I$13,6,0),"")</f>
      </c>
      <c r="B34" s="69">
        <f>IF(ISNUMBER(G34)=TRUE,VLOOKUP(A39,'Upis rezultata A sektora'!$D$2:$E$13,2,FALSE),"")</f>
      </c>
      <c r="C34" s="105">
        <f>IF(ISNUMBER(G34)=TRUE,VLOOKUP(B34,'Upis rezultata A sektora'!$E$2:$G$13,3,FALSE),"")</f>
      </c>
      <c r="D34" s="88">
        <f>IF(ISNUMBER(C34)=TRUE,VLOOKUP(B34,'Upis rezultata A sektora'!$E$2:$G$13,2,FALSE),"")</f>
      </c>
      <c r="E34" s="125">
        <f>IF(ISNUMBER(G34)=TRUE,VLOOKUP(A39,'Upis rezultata A sektora'!$D$2:$H$13,5,FALSE),"")</f>
      </c>
      <c r="F34" s="119">
        <f>IF(ISBLANK(B34)=TRUE,"",IF(ISNUMBER(G34)=TRUE,VLOOKUP(B34,'Pojedinačni plasman'!$A$6:$G$65,7,FALSE),""))</f>
      </c>
      <c r="G34" s="486">
        <f>IF(ISNONTEXT('Ekipni plasman'!$B$10)=TRUE,"",'Ekipni plasman'!$F$10)</f>
      </c>
      <c r="H34" s="483">
        <f>IF(ISNUMBER(G34)=TRUE,G34,"")</f>
      </c>
      <c r="J34" s="105">
        <f>IF(ISNUMBER(N34)=TRUE,VLOOKUP(J39,'Upis rezultata A sektora'!$D$2:$I$13,6,0),"")</f>
      </c>
      <c r="K34" s="69">
        <f>IF(ISNUMBER(P34)=TRUE,VLOOKUP(J39,'Upis rezultata A sektora'!$D$2:$E$13,2,FALSE),"")</f>
      </c>
      <c r="L34" s="105">
        <f>IF(ISNUMBER(P34)=TRUE,VLOOKUP(K34,'Upis rezultata A sektora'!$E$2:$G$13,3,FALSE),"")</f>
      </c>
      <c r="M34" s="88">
        <f>IF(ISNUMBER(L34)=TRUE,VLOOKUP(K34,'Upis rezultata A sektora'!$E$2:$G$13,2,FALSE),"")</f>
      </c>
      <c r="N34" s="125">
        <f>IF(ISNUMBER(P34)=TRUE,VLOOKUP(J39,'Upis rezultata A sektora'!$D$2:$H$13,5,FALSE),"")</f>
      </c>
      <c r="O34" s="119">
        <f>IF(ISBLANK(K34)=TRUE,"",IF(ISNUMBER(P34)=TRUE,VLOOKUP(K34,'Pojedinačni plasman'!$A$6:$G$65,7,FALSE),""))</f>
      </c>
      <c r="P34" s="486">
        <f>IF(ISNONTEXT('Ekipni plasman'!$B$16)=TRUE,"",'Ekipni plasman'!$F$16)</f>
      </c>
      <c r="Q34" s="483">
        <f>IF(ISNUMBER(P34)=TRUE,P34,"")</f>
      </c>
    </row>
    <row r="35" spans="1:17" s="68" customFormat="1" ht="15.75" customHeight="1">
      <c r="A35" s="105">
        <f>IF(ISNUMBER(E35)=TRUE,VLOOKUP(A39,'Upis rezultata B sektora'!$D$2:$G$13,4,0),"")</f>
      </c>
      <c r="B35" s="69">
        <f>IF(ISNUMBER(G34)=TRUE,VLOOKUP(A39,'Upis rezultata B sektora'!$D$2:$E$13,2,FALSE),"")</f>
      </c>
      <c r="C35" s="105">
        <f>IF(ISNUMBER(G34)=TRUE,VLOOKUP(B35,'Upis rezultata B sektora'!$E$2:$I$13,5,FALSE),"")</f>
      </c>
      <c r="D35" s="88">
        <f>IF(ISNUMBER(C35)=TRUE,VLOOKUP(B35,'Upis rezultata B sektora'!$E$2:$G$13,2,FALSE),"")</f>
      </c>
      <c r="E35" s="125">
        <f>IF(ISNUMBER(G34)=TRUE,VLOOKUP(A39,'Upis rezultata B sektora'!$D$2:$H$13,5,FALSE),"")</f>
      </c>
      <c r="F35" s="119">
        <f>IF(ISBLANK(B35)=TRUE,"",IF(ISNUMBER(G34)=TRUE,VLOOKUP(B35,'Pojedinačni plasman'!$A$6:$G$65,7,FALSE),""))</f>
      </c>
      <c r="G35" s="487"/>
      <c r="H35" s="484"/>
      <c r="J35" s="105">
        <f>IF(ISNUMBER(N35)=TRUE,VLOOKUP(J39,'Upis rezultata B sektora'!$D$2:$G$13,4,0),"")</f>
      </c>
      <c r="K35" s="69">
        <f>IF(ISNUMBER(P34)=TRUE,VLOOKUP(J39,'Upis rezultata B sektora'!$D$2:$E$13,2,FALSE),"")</f>
      </c>
      <c r="L35" s="105">
        <f>IF(ISNUMBER(P34)=TRUE,VLOOKUP(K35,'Upis rezultata B sektora'!$E$2:$I$13,5,FALSE),"")</f>
      </c>
      <c r="M35" s="88">
        <f>IF(ISNUMBER(L35)=TRUE,VLOOKUP(K35,'Upis rezultata B sektora'!$E$2:$G$13,2,FALSE),"")</f>
      </c>
      <c r="N35" s="125">
        <f>IF(ISNUMBER(P34)=TRUE,VLOOKUP(J39,'Upis rezultata B sektora'!$D$2:$H$13,5,FALSE),"")</f>
      </c>
      <c r="O35" s="119">
        <f>IF(ISBLANK(K35)=TRUE,"",IF(ISNUMBER(P34)=TRUE,VLOOKUP(K35,'Pojedinačni plasman'!$A$6:$G$65,7,FALSE),""))</f>
      </c>
      <c r="P35" s="487"/>
      <c r="Q35" s="484"/>
    </row>
    <row r="36" spans="1:17" s="68" customFormat="1" ht="15.75" customHeight="1">
      <c r="A36" s="105">
        <f>IF(ISNUMBER(E36)=TRUE,VLOOKUP(A39,'Upis rezultata C sektora'!$D$2:$G$13,4,0),"")</f>
      </c>
      <c r="B36" s="69">
        <f>IF(ISNUMBER(G34)=TRUE,VLOOKUP(A39,'Upis rezultata C sektora'!$D$2:$E$13,2,FALSE),"")</f>
      </c>
      <c r="C36" s="105">
        <f>IF(ISNUMBER(G34)=TRUE,VLOOKUP(B36,'Upis rezultata C sektora'!$E$2:$I$13,5,FALSE),"")</f>
      </c>
      <c r="D36" s="88">
        <f>IF(ISNUMBER(C36)=TRUE,VLOOKUP(B36,'Upis rezultata C sektora'!$E$2:$G$13,2,FALSE),"")</f>
      </c>
      <c r="E36" s="125">
        <f>IF(ISNUMBER(G34)=TRUE,VLOOKUP(A39,'Upis rezultata C sektora'!$D$2:$H$13,5,FALSE),"")</f>
      </c>
      <c r="F36" s="119">
        <f>IF(ISBLANK(B36)=TRUE,"",IF(ISNUMBER(G34)=TRUE,VLOOKUP(B36,'Pojedinačni plasman'!$A$6:$G$65,7,FALSE),""))</f>
      </c>
      <c r="G36" s="487"/>
      <c r="H36" s="484"/>
      <c r="J36" s="105">
        <f>IF(ISNUMBER(N36)=TRUE,VLOOKUP(J39,'Upis rezultata C sektora'!$D$2:$G$13,4,0),"")</f>
      </c>
      <c r="K36" s="69">
        <f>IF(ISNUMBER(P34)=TRUE,VLOOKUP(J39,'Upis rezultata C sektora'!$D$2:$E$13,2,FALSE),"")</f>
      </c>
      <c r="L36" s="105">
        <f>IF(ISNUMBER(P34)=TRUE,VLOOKUP(K36,'Upis rezultata C sektora'!$E$2:$I$13,5,FALSE),"")</f>
      </c>
      <c r="M36" s="88">
        <f>IF(ISNUMBER(L36)=TRUE,VLOOKUP(K36,'Upis rezultata C sektora'!$E$2:$G$13,2,FALSE),"")</f>
      </c>
      <c r="N36" s="125">
        <f>IF(ISNUMBER(P34)=TRUE,VLOOKUP(J39,'Upis rezultata C sektora'!$D$2:$H$13,5,FALSE),"")</f>
      </c>
      <c r="O36" s="119">
        <f>IF(ISBLANK(K36)=TRUE,"",IF(ISNUMBER(P34)=TRUE,VLOOKUP(K36,'Pojedinačni plasman'!$A$6:$G$65,7,FALSE),""))</f>
      </c>
      <c r="P36" s="487"/>
      <c r="Q36" s="484"/>
    </row>
    <row r="37" spans="1:17" s="68" customFormat="1" ht="15.75" customHeight="1">
      <c r="A37" s="105">
        <f>IF(ISNUMBER(E37)=TRUE,VLOOKUP(A39,'Upis rezultata D sektora'!$D$2:$G$13,4,0),"")</f>
      </c>
      <c r="B37" s="69">
        <f>IF(ISNUMBER(G34)=TRUE,VLOOKUP(A39,'Upis rezultata D sektora'!$D$2:$E$13,2,FALSE),"")</f>
      </c>
      <c r="C37" s="105">
        <f>IF(ISNUMBER(G34)=TRUE,VLOOKUP(B37,'Upis rezultata D sektora'!$E$2:$I$13,5,FALSE),"")</f>
      </c>
      <c r="D37" s="88">
        <f>IF(ISNUMBER(C37)=TRUE,VLOOKUP(B37,'Upis rezultata D sektora'!$E$2:$G$13,2,FALSE),"")</f>
      </c>
      <c r="E37" s="125">
        <f>IF(ISNUMBER(G34)=TRUE,VLOOKUP(A39,'Upis rezultata D sektora'!$D$2:$H$13,5,FALSE),"")</f>
      </c>
      <c r="F37" s="119">
        <f>IF(ISBLANK(B37)=TRUE,"",IF(ISNUMBER(G34)=TRUE,VLOOKUP(B37,'Pojedinačni plasman'!$A$6:$G$65,7,FALSE),""))</f>
      </c>
      <c r="G37" s="487"/>
      <c r="H37" s="484"/>
      <c r="J37" s="105">
        <f>IF(ISNUMBER(N37)=TRUE,VLOOKUP(J39,'Upis rezultata D sektora'!$D$2:$G$13,4,0),"")</f>
      </c>
      <c r="K37" s="69">
        <f>IF(ISNUMBER(P34)=TRUE,VLOOKUP(J39,'Upis rezultata D sektora'!$D$2:$E$13,2,FALSE),"")</f>
      </c>
      <c r="L37" s="105">
        <f>IF(ISNUMBER(P34)=TRUE,VLOOKUP(K37,'Upis rezultata D sektora'!$E$2:$I$13,5,FALSE),"")</f>
      </c>
      <c r="M37" s="88">
        <f>IF(ISNUMBER(L37)=TRUE,VLOOKUP(K37,'Upis rezultata D sektora'!$E$2:$G$13,2,FALSE),"")</f>
      </c>
      <c r="N37" s="125">
        <f>IF(ISNUMBER(P34)=TRUE,VLOOKUP(J39,'Upis rezultata D sektora'!$D$2:$H$13,5,FALSE),"")</f>
      </c>
      <c r="O37" s="119">
        <f>IF(ISBLANK(K37)=TRUE,"",IF(ISNUMBER(P34)=TRUE,VLOOKUP(K37,'Pojedinačni plasman'!$A$6:$G$65,7,FALSE),""))</f>
      </c>
      <c r="P37" s="487"/>
      <c r="Q37" s="484"/>
    </row>
    <row r="38" spans="1:17" s="68" customFormat="1" ht="15.75" customHeight="1">
      <c r="A38" s="105">
        <f>IF(ISNUMBER(E38)=TRUE,VLOOKUP(A39,'Upis rezultata E sektora'!$D$2:$G$13,4,0),"")</f>
      </c>
      <c r="B38" s="69">
        <f>IF(ISNUMBER(G34)=TRUE,VLOOKUP(A39,'Upis rezultata E sektora'!$D$2:$E$13,2,FALSE),"")</f>
      </c>
      <c r="C38" s="105">
        <f>IF(ISNUMBER(G34)=TRUE,VLOOKUP(B38,'Upis rezultata E sektora'!$E$2:$I$13,5,FALSE),"")</f>
      </c>
      <c r="D38" s="88">
        <f>IF(ISNUMBER(C38)=TRUE,VLOOKUP(B38,'Upis rezultata E sektora'!$E$2:$G$13,2,FALSE),"")</f>
      </c>
      <c r="E38" s="125">
        <f>IF(ISNUMBER(G34)=TRUE,VLOOKUP(A39,'Upis rezultata E sektora'!$D$2:$H$13,5,FALSE),"")</f>
      </c>
      <c r="F38" s="119">
        <f>IF(ISBLANK(B38)=TRUE,"",IF(ISNUMBER(G34)=TRUE,VLOOKUP(B38,'Pojedinačni plasman'!$A$6:$G$65,7,FALSE),""))</f>
      </c>
      <c r="G38" s="487"/>
      <c r="H38" s="484"/>
      <c r="J38" s="105">
        <f>IF(ISNUMBER(N38)=TRUE,VLOOKUP(J39,'Upis rezultata E sektora'!$D$2:$G$13,4,0),"")</f>
      </c>
      <c r="K38" s="69">
        <f>IF(ISNUMBER(P34)=TRUE,VLOOKUP(J39,'Upis rezultata E sektora'!$D$2:$E$13,2,FALSE),"")</f>
      </c>
      <c r="L38" s="105">
        <f>IF(ISNUMBER(P34)=TRUE,VLOOKUP(K38,'Upis rezultata E sektora'!$E$2:$I$13,5,FALSE),"")</f>
      </c>
      <c r="M38" s="88">
        <f>IF(ISNUMBER(L38)=TRUE,VLOOKUP(K38,'Upis rezultata E sektora'!$E$2:$G$13,2,FALSE),"")</f>
      </c>
      <c r="N38" s="125">
        <f>IF(ISNUMBER(P34)=TRUE,VLOOKUP(J39,'Upis rezultata E sektora'!$D$2:$H$13,5,FALSE),"")</f>
      </c>
      <c r="O38" s="119">
        <f>IF(ISBLANK(K38)=TRUE,"",IF(ISNUMBER(P34)=TRUE,VLOOKUP(K38,'Pojedinačni plasman'!$A$6:$G$65,7,FALSE),""))</f>
      </c>
      <c r="P38" s="487"/>
      <c r="Q38" s="484"/>
    </row>
    <row r="39" spans="1:17" s="83" customFormat="1" ht="20.25">
      <c r="A39" s="489">
        <f>IF(ISNONTEXT('Ekipni plasman'!$B$10)=TRUE,"",'Ekipni plasman'!$B$10)</f>
      </c>
      <c r="B39" s="490"/>
      <c r="C39" s="491"/>
      <c r="D39" s="118">
        <f>IF(ISNONTEXT('Ekipni plasman'!$B$10)=TRUE,"",'Ekipni plasman'!$D$10)</f>
      </c>
      <c r="E39" s="132">
        <f>IF(ISNONTEXT('Ekipni plasman'!$B$10)=TRUE,"",'Ekipni plasman'!$C$10)</f>
      </c>
      <c r="F39" s="87"/>
      <c r="G39" s="488"/>
      <c r="H39" s="485"/>
      <c r="J39" s="489">
        <f>IF(ISNONTEXT('Ekipni plasman'!$B$16)=TRUE,"",'Ekipni plasman'!$B$16)</f>
      </c>
      <c r="K39" s="490"/>
      <c r="L39" s="491"/>
      <c r="M39" s="118">
        <f>IF(ISNONTEXT('Ekipni plasman'!$B$16)=TRUE,"",'Ekipni plasman'!$D$16)</f>
      </c>
      <c r="N39" s="132">
        <f>IF(ISNONTEXT('Ekipni plasman'!$B$16)=TRUE,"",'Ekipni plasman'!$C$16)</f>
      </c>
      <c r="O39" s="87"/>
      <c r="P39" s="488"/>
      <c r="Q39" s="485"/>
    </row>
    <row r="41" spans="1:17" s="68" customFormat="1" ht="15">
      <c r="A41" s="105">
        <f>IF(ISNUMBER(E41)=TRUE,VLOOKUP(A46,'Upis rezultata A sektora'!$D$2:$I$13,6,0),"")</f>
      </c>
      <c r="B41" s="69">
        <f>IF(ISNUMBER(G41)=TRUE,VLOOKUP(A46,'Upis rezultata A sektora'!$D$2:$E$13,2,FALSE),"")</f>
      </c>
      <c r="C41" s="105">
        <f>IF(ISNUMBER(G41)=TRUE,VLOOKUP(B41,'Upis rezultata A sektora'!$E$2:$G$13,3,FALSE),"")</f>
      </c>
      <c r="D41" s="88">
        <f>IF(ISNUMBER(C41)=TRUE,VLOOKUP(B41,'Upis rezultata A sektora'!$E$2:$G$13,2,FALSE),"")</f>
      </c>
      <c r="E41" s="125">
        <f>IF(ISNUMBER(G41)=TRUE,VLOOKUP(A46,'Upis rezultata A sektora'!$D$2:$H$13,5,FALSE),"")</f>
      </c>
      <c r="F41" s="119">
        <f>IF(ISBLANK(B41)=TRUE,"",IF(ISNUMBER(G41)=TRUE,VLOOKUP(B41,'Pojedinačni plasman'!$A$6:$G$65,7,FALSE),""))</f>
      </c>
      <c r="G41" s="486">
        <f>IF(ISNONTEXT('Ekipni plasman'!$B$11)=TRUE,"",'Ekipni plasman'!$F$11)</f>
      </c>
      <c r="H41" s="483">
        <f>IF(ISNUMBER(G41)=TRUE,G41,"")</f>
      </c>
      <c r="J41" s="105">
        <f>IF(ISNUMBER(N41)=TRUE,VLOOKUP(J46,'Upis rezultata A sektora'!$D$2:$I$13,6,0),"")</f>
      </c>
      <c r="K41" s="69">
        <f>IF(ISNUMBER(P41)=TRUE,VLOOKUP(J46,'Upis rezultata A sektora'!$D$2:$E$13,2,FALSE),"")</f>
      </c>
      <c r="L41" s="105">
        <f>IF(ISNUMBER(P41)=TRUE,VLOOKUP(K41,'Upis rezultata A sektora'!$E$2:$G$13,3,FALSE),"")</f>
      </c>
      <c r="M41" s="88">
        <f>IF(ISNUMBER(L41)=TRUE,VLOOKUP(K41,'Upis rezultata A sektora'!$E$2:$G$13,2,FALSE),"")</f>
      </c>
      <c r="N41" s="125">
        <f>IF(ISNUMBER(P41)=TRUE,VLOOKUP(J46,'Upis rezultata A sektora'!$D$2:$H$13,5,FALSE),"")</f>
      </c>
      <c r="O41" s="119">
        <f>IF(ISBLANK(K41)=TRUE,"",IF(ISNUMBER(P41)=TRUE,VLOOKUP(K41,'Pojedinačni plasman'!$A$6:$G$65,7,FALSE),""))</f>
      </c>
      <c r="P41" s="486">
        <f>IF(ISNONTEXT('Ekipni plasman'!$B$17)=TRUE,"",'Ekipni plasman'!$F$17)</f>
      </c>
      <c r="Q41" s="483">
        <f>IF(ISNUMBER(P41)=TRUE,P41,"")</f>
      </c>
    </row>
    <row r="42" spans="1:17" s="68" customFormat="1" ht="15.75" customHeight="1">
      <c r="A42" s="105">
        <f>IF(ISNUMBER(E42)=TRUE,VLOOKUP(A46,'Upis rezultata B sektora'!$D$2:$G$13,4,0),"")</f>
      </c>
      <c r="B42" s="69">
        <f>IF(ISNUMBER(G41)=TRUE,VLOOKUP(A46,'Upis rezultata B sektora'!$D$2:$E$13,2,FALSE),"")</f>
      </c>
      <c r="C42" s="105">
        <f>IF(ISNUMBER(G41)=TRUE,VLOOKUP(B42,'Upis rezultata B sektora'!$E$2:$I$13,5,FALSE),"")</f>
      </c>
      <c r="D42" s="88">
        <f>IF(ISNUMBER(C42)=TRUE,VLOOKUP(B42,'Upis rezultata B sektora'!$E$2:$G$13,2,FALSE),"")</f>
      </c>
      <c r="E42" s="125">
        <f>IF(ISNUMBER(G41)=TRUE,VLOOKUP(A46,'Upis rezultata B sektora'!$D$2:$H$13,5,FALSE),"")</f>
      </c>
      <c r="F42" s="119">
        <f>IF(ISBLANK(B42)=TRUE,"",IF(ISNUMBER(G41)=TRUE,VLOOKUP(B42,'Pojedinačni plasman'!$A$6:$G$65,7,FALSE),""))</f>
      </c>
      <c r="G42" s="487"/>
      <c r="H42" s="484"/>
      <c r="J42" s="105">
        <f>IF(ISNUMBER(N42)=TRUE,VLOOKUP(J46,'Upis rezultata B sektora'!$D$2:$G$13,4,0),"")</f>
      </c>
      <c r="K42" s="69">
        <f>IF(ISNUMBER(P41)=TRUE,VLOOKUP(J46,'Upis rezultata B sektora'!$D$2:$E$13,2,FALSE),"")</f>
      </c>
      <c r="L42" s="105">
        <f>IF(ISNUMBER(P41)=TRUE,VLOOKUP(K42,'Upis rezultata B sektora'!$E$2:$I$13,5,FALSE),"")</f>
      </c>
      <c r="M42" s="88">
        <f>IF(ISNUMBER(L42)=TRUE,VLOOKUP(K42,'Upis rezultata B sektora'!$E$2:$G$13,2,FALSE),"")</f>
      </c>
      <c r="N42" s="125">
        <f>IF(ISNUMBER(P41)=TRUE,VLOOKUP(J46,'Upis rezultata B sektora'!$D$2:$H$13,5,FALSE),"")</f>
      </c>
      <c r="O42" s="119">
        <f>IF(ISBLANK(K42)=TRUE,"",IF(ISNUMBER(P41)=TRUE,VLOOKUP(K42,'Pojedinačni plasman'!$A$6:$G$65,7,FALSE),""))</f>
      </c>
      <c r="P42" s="487"/>
      <c r="Q42" s="484"/>
    </row>
    <row r="43" spans="1:17" s="68" customFormat="1" ht="15.75" customHeight="1">
      <c r="A43" s="105">
        <f>IF(ISNUMBER(E43)=TRUE,VLOOKUP(A46,'Upis rezultata C sektora'!$D$2:$G$13,4,0),"")</f>
      </c>
      <c r="B43" s="69">
        <f>IF(ISNUMBER(G41)=TRUE,VLOOKUP(A46,'Upis rezultata C sektora'!$D$2:$E$13,2,FALSE),"")</f>
      </c>
      <c r="C43" s="105">
        <f>IF(ISNUMBER(G41)=TRUE,VLOOKUP(B43,'Upis rezultata C sektora'!$E$2:$I$13,5,FALSE),"")</f>
      </c>
      <c r="D43" s="88">
        <f>IF(ISNUMBER(C43)=TRUE,VLOOKUP(B43,'Upis rezultata C sektora'!$E$2:$G$13,2,FALSE),"")</f>
      </c>
      <c r="E43" s="125">
        <f>IF(ISNUMBER(G41)=TRUE,VLOOKUP(A46,'Upis rezultata C sektora'!$D$2:$H$13,5,FALSE),"")</f>
      </c>
      <c r="F43" s="119">
        <f>IF(ISBLANK(B43)=TRUE,"",IF(ISNUMBER(G41)=TRUE,VLOOKUP(B43,'Pojedinačni plasman'!$A$6:$G$65,7,FALSE),""))</f>
      </c>
      <c r="G43" s="487"/>
      <c r="H43" s="484"/>
      <c r="J43" s="105">
        <f>IF(ISNUMBER(N43)=TRUE,VLOOKUP(J46,'Upis rezultata C sektora'!$D$2:$G$13,4,0),"")</f>
      </c>
      <c r="K43" s="69">
        <f>IF(ISNUMBER(P41)=TRUE,VLOOKUP(J46,'Upis rezultata C sektora'!$D$2:$E$13,2,FALSE),"")</f>
      </c>
      <c r="L43" s="105">
        <f>IF(ISNUMBER(P41)=TRUE,VLOOKUP(K43,'Upis rezultata C sektora'!$E$2:$I$13,5,FALSE),"")</f>
      </c>
      <c r="M43" s="88">
        <f>IF(ISNUMBER(L43)=TRUE,VLOOKUP(K43,'Upis rezultata C sektora'!$E$2:$G$13,2,FALSE),"")</f>
      </c>
      <c r="N43" s="125">
        <f>IF(ISNUMBER(P41)=TRUE,VLOOKUP(J46,'Upis rezultata C sektora'!$D$2:$H$13,5,FALSE),"")</f>
      </c>
      <c r="O43" s="119">
        <f>IF(ISBLANK(K43)=TRUE,"",IF(ISNUMBER(P41)=TRUE,VLOOKUP(K43,'Pojedinačni plasman'!$A$6:$G$65,7,FALSE),""))</f>
      </c>
      <c r="P43" s="487"/>
      <c r="Q43" s="484"/>
    </row>
    <row r="44" spans="1:17" s="68" customFormat="1" ht="15.75" customHeight="1">
      <c r="A44" s="105">
        <f>IF(ISNUMBER(E44)=TRUE,VLOOKUP(A46,'Upis rezultata D sektora'!$D$2:$G$13,4,0),"")</f>
      </c>
      <c r="B44" s="69">
        <f>IF(ISNUMBER(G41)=TRUE,VLOOKUP(A46,'Upis rezultata D sektora'!$D$2:$E$13,2,FALSE),"")</f>
      </c>
      <c r="C44" s="105">
        <f>IF(ISNUMBER(G41)=TRUE,VLOOKUP(B44,'Upis rezultata D sektora'!$E$2:$I$13,5,FALSE),"")</f>
      </c>
      <c r="D44" s="88">
        <f>IF(ISNUMBER(C44)=TRUE,VLOOKUP(B44,'Upis rezultata D sektora'!$E$2:$G$13,2,FALSE),"")</f>
      </c>
      <c r="E44" s="125">
        <f>IF(ISNUMBER(G41)=TRUE,VLOOKUP(A46,'Upis rezultata D sektora'!$D$2:$H$13,5,FALSE),"")</f>
      </c>
      <c r="F44" s="119">
        <f>IF(ISBLANK(B44)=TRUE,"",IF(ISNUMBER(G41)=TRUE,VLOOKUP(B44,'Pojedinačni plasman'!$A$6:$G$65,7,FALSE),""))</f>
      </c>
      <c r="G44" s="487"/>
      <c r="H44" s="484"/>
      <c r="J44" s="105">
        <f>IF(ISNUMBER(N44)=TRUE,VLOOKUP(J46,'Upis rezultata D sektora'!$D$2:$G$13,4,0),"")</f>
      </c>
      <c r="K44" s="69">
        <f>IF(ISNUMBER(P41)=TRUE,VLOOKUP(J46,'Upis rezultata D sektora'!$D$2:$E$13,2,FALSE),"")</f>
      </c>
      <c r="L44" s="105">
        <f>IF(ISNUMBER(P41)=TRUE,VLOOKUP(K44,'Upis rezultata D sektora'!$E$2:$I$13,5,FALSE),"")</f>
      </c>
      <c r="M44" s="88">
        <f>IF(ISNUMBER(L44)=TRUE,VLOOKUP(K44,'Upis rezultata D sektora'!$E$2:$G$13,2,FALSE),"")</f>
      </c>
      <c r="N44" s="125">
        <f>IF(ISNUMBER(P41)=TRUE,VLOOKUP(J46,'Upis rezultata D sektora'!$D$2:$H$13,5,FALSE),"")</f>
      </c>
      <c r="O44" s="119">
        <f>IF(ISBLANK(K44)=TRUE,"",IF(ISNUMBER(P41)=TRUE,VLOOKUP(K44,'Pojedinačni plasman'!$A$6:$G$65,7,FALSE),""))</f>
      </c>
      <c r="P44" s="487"/>
      <c r="Q44" s="484"/>
    </row>
    <row r="45" spans="1:17" s="68" customFormat="1" ht="15.75" customHeight="1">
      <c r="A45" s="105">
        <f>IF(ISNUMBER(E45)=TRUE,VLOOKUP(A46,'Upis rezultata E sektora'!$D$2:$G$13,4,0),"")</f>
      </c>
      <c r="B45" s="69">
        <f>IF(ISNUMBER(G41)=TRUE,VLOOKUP(A46,'Upis rezultata E sektora'!$D$2:$E$13,2,FALSE),"")</f>
      </c>
      <c r="C45" s="105">
        <f>IF(ISNUMBER(G41)=TRUE,VLOOKUP(B45,'Upis rezultata E sektora'!$E$2:$I$13,5,FALSE),"")</f>
      </c>
      <c r="D45" s="88">
        <f>IF(ISNUMBER(C45)=TRUE,VLOOKUP(B45,'Upis rezultata E sektora'!$E$2:$G$13,2,FALSE),"")</f>
      </c>
      <c r="E45" s="125">
        <f>IF(ISNUMBER(G41)=TRUE,VLOOKUP(A46,'Upis rezultata E sektora'!$D$2:$H$13,5,FALSE),"")</f>
      </c>
      <c r="F45" s="119">
        <f>IF(ISBLANK(B45)=TRUE,"",IF(ISNUMBER(G41)=TRUE,VLOOKUP(B45,'Pojedinačni plasman'!$A$6:$G$65,7,FALSE),""))</f>
      </c>
      <c r="G45" s="487"/>
      <c r="H45" s="484"/>
      <c r="J45" s="105">
        <f>IF(ISNUMBER(N45)=TRUE,VLOOKUP(J46,'Upis rezultata E sektora'!$D$2:$G$13,4,0),"")</f>
      </c>
      <c r="K45" s="69">
        <f>IF(ISNUMBER(P41)=TRUE,VLOOKUP(J46,'Upis rezultata E sektora'!$D$2:$E$13,2,FALSE),"")</f>
      </c>
      <c r="L45" s="105">
        <f>IF(ISNUMBER(P41)=TRUE,VLOOKUP(K45,'Upis rezultata E sektora'!$E$2:$I$13,5,FALSE),"")</f>
      </c>
      <c r="M45" s="88">
        <f>IF(ISNUMBER(L45)=TRUE,VLOOKUP(K45,'Upis rezultata E sektora'!$E$2:$G$13,2,FALSE),"")</f>
      </c>
      <c r="N45" s="125">
        <f>IF(ISNUMBER(P41)=TRUE,VLOOKUP(J46,'Upis rezultata E sektora'!$D$2:$H$13,5,FALSE),"")</f>
      </c>
      <c r="O45" s="119">
        <f>IF(ISBLANK(K45)=TRUE,"",IF(ISNUMBER(P41)=TRUE,VLOOKUP(K45,'Pojedinačni plasman'!$A$6:$G$65,7,FALSE),""))</f>
      </c>
      <c r="P45" s="487"/>
      <c r="Q45" s="484"/>
    </row>
    <row r="46" spans="1:17" s="83" customFormat="1" ht="20.25">
      <c r="A46" s="489">
        <f>IF(ISNONTEXT('Ekipni plasman'!$B$11)=TRUE,"",'Ekipni plasman'!$B$11)</f>
      </c>
      <c r="B46" s="490"/>
      <c r="C46" s="491"/>
      <c r="D46" s="118">
        <f>IF(ISNONTEXT('Ekipni plasman'!$B$11)=TRUE,"",'Ekipni plasman'!$D$11)</f>
      </c>
      <c r="E46" s="132">
        <f>IF(ISNONTEXT('Ekipni plasman'!$B$11)=TRUE,"",'Ekipni plasman'!$C$11)</f>
      </c>
      <c r="F46" s="87"/>
      <c r="G46" s="488"/>
      <c r="H46" s="485"/>
      <c r="J46" s="489">
        <f>IF(ISNONTEXT('Ekipni plasman'!$B$17)=TRUE,"",'Ekipni plasman'!$B$17)</f>
      </c>
      <c r="K46" s="490"/>
      <c r="L46" s="491"/>
      <c r="M46" s="118">
        <f>IF(ISNONTEXT('Ekipni plasman'!$B$17)=TRUE,"",'Ekipni plasman'!$D$17)</f>
      </c>
      <c r="N46" s="132">
        <f>IF(ISNONTEXT('Ekipni plasman'!$B$17)=TRUE,"",'Ekipni plasman'!$C$17)</f>
      </c>
      <c r="O46" s="87"/>
      <c r="P46" s="488"/>
      <c r="Q46" s="485"/>
    </row>
    <row r="48" spans="1:17" s="68" customFormat="1" ht="15.75">
      <c r="A48" s="31"/>
      <c r="B48" s="31" t="s">
        <v>142</v>
      </c>
      <c r="C48" s="31"/>
      <c r="D48" s="120"/>
      <c r="E48" s="126"/>
      <c r="F48" s="31" t="s">
        <v>11</v>
      </c>
      <c r="G48" s="104"/>
      <c r="H48" s="31"/>
      <c r="J48" s="31"/>
      <c r="K48" s="31" t="s">
        <v>125</v>
      </c>
      <c r="L48" s="31"/>
      <c r="M48" s="120"/>
      <c r="N48" s="126"/>
      <c r="O48" s="31" t="s">
        <v>126</v>
      </c>
      <c r="P48" s="127">
        <f>IF(ISNUMBER(G6)=TRUE,"1/1","")</f>
      </c>
      <c r="Q48" s="31"/>
    </row>
    <row r="49" spans="1:17" s="68" customFormat="1" ht="15.75">
      <c r="A49" s="31"/>
      <c r="B49" s="31">
        <f>IF(ISBLANK('Organizacija natjecanja'!$H$20)=TRUE,"",'Organizacija natjecanja'!$H$20)</f>
      </c>
      <c r="C49" s="31"/>
      <c r="D49" s="120"/>
      <c r="E49" s="126"/>
      <c r="F49" s="31">
        <f>IF(ISBLANK('Organizacija natjecanja'!$H$16)=TRUE,"",'Organizacija natjecanja'!$H$16)</f>
      </c>
      <c r="G49" s="104"/>
      <c r="H49" s="31"/>
      <c r="J49" s="31"/>
      <c r="K49" s="31">
        <f>IF(ISBLANK('Organizacija natjecanja'!$H$18)=TRUE,"",'Organizacija natjecanja'!$H$18)</f>
      </c>
      <c r="L49" s="31"/>
      <c r="M49" s="120"/>
      <c r="N49" s="126"/>
      <c r="O49" s="31"/>
      <c r="P49" s="104"/>
      <c r="Q49" s="31"/>
    </row>
  </sheetData>
  <sheetProtection password="C7E2" sheet="1" objects="1" scenarios="1"/>
  <mergeCells count="36">
    <mergeCell ref="A11:C11"/>
    <mergeCell ref="J11:L11"/>
    <mergeCell ref="A18:C18"/>
    <mergeCell ref="J18:L18"/>
    <mergeCell ref="H6:H11"/>
    <mergeCell ref="G13:G18"/>
    <mergeCell ref="G6:G11"/>
    <mergeCell ref="A25:C25"/>
    <mergeCell ref="J25:L25"/>
    <mergeCell ref="A32:C32"/>
    <mergeCell ref="J32:L32"/>
    <mergeCell ref="H27:H32"/>
    <mergeCell ref="G27:G32"/>
    <mergeCell ref="G20:G25"/>
    <mergeCell ref="A39:C39"/>
    <mergeCell ref="J39:L39"/>
    <mergeCell ref="A46:C46"/>
    <mergeCell ref="J46:L46"/>
    <mergeCell ref="G41:G46"/>
    <mergeCell ref="G34:G39"/>
    <mergeCell ref="Q6:Q11"/>
    <mergeCell ref="Q13:Q18"/>
    <mergeCell ref="H13:H18"/>
    <mergeCell ref="H20:H25"/>
    <mergeCell ref="Q20:Q25"/>
    <mergeCell ref="P20:P25"/>
    <mergeCell ref="P13:P18"/>
    <mergeCell ref="P6:P11"/>
    <mergeCell ref="Q27:Q32"/>
    <mergeCell ref="Q34:Q39"/>
    <mergeCell ref="H34:H39"/>
    <mergeCell ref="H41:H46"/>
    <mergeCell ref="Q41:Q46"/>
    <mergeCell ref="P41:P46"/>
    <mergeCell ref="P34:P39"/>
    <mergeCell ref="P27:P32"/>
  </mergeCells>
  <printOptions horizontalCentered="1" verticalCentered="1"/>
  <pageMargins left="0.57" right="0.51" top="0.21" bottom="0.26" header="2.78" footer="0.14"/>
  <pageSetup horizontalDpi="300" verticalDpi="300" orientation="landscape" paperSize="9" scale="69" r:id="rId2"/>
  <headerFooter alignWithMargins="0">
    <oddHeader>&amp;C&amp;G</oddHeader>
    <oddFooter>&amp;C&amp;"Arial,Kurziv"&amp;9&amp;Y&amp;F - Mladen Čačić(098/871 644)</oddFooter>
  </headerFooter>
  <legacyDrawingHF r:id="rId1"/>
</worksheet>
</file>

<file path=xl/worksheets/sheet17.xml><?xml version="1.0" encoding="utf-8"?>
<worksheet xmlns="http://schemas.openxmlformats.org/spreadsheetml/2006/main" xmlns:r="http://schemas.openxmlformats.org/officeDocument/2006/relationships">
  <sheetPr codeName="Sheet11">
    <tabColor indexed="13"/>
  </sheetPr>
  <dimension ref="A1:E89"/>
  <sheetViews>
    <sheetView showRowColHeaders="0" zoomScalePageLayoutView="0" workbookViewId="0" topLeftCell="A91">
      <selection activeCell="A1" sqref="A1:IV90"/>
    </sheetView>
  </sheetViews>
  <sheetFormatPr defaultColWidth="9.140625" defaultRowHeight="12.75"/>
  <cols>
    <col min="1" max="1" width="10.421875" style="16" customWidth="1"/>
    <col min="2" max="3" width="8.8515625" style="16" customWidth="1"/>
    <col min="4" max="4" width="18.57421875" style="16" customWidth="1"/>
    <col min="5" max="5" width="17.140625" style="16" customWidth="1"/>
    <col min="6" max="6" width="14.28125" style="16" customWidth="1"/>
    <col min="7" max="7" width="15.28125" style="16" customWidth="1"/>
    <col min="8" max="8" width="17.140625" style="16" customWidth="1"/>
    <col min="9" max="16384" width="9.140625" style="16" customWidth="1"/>
  </cols>
  <sheetData>
    <row r="1" ht="12.75" hidden="1">
      <c r="D1" s="56" t="s">
        <v>67</v>
      </c>
    </row>
    <row r="2" ht="12.75" hidden="1">
      <c r="D2" s="56">
        <f>IF(ISNONTEXT('Organizacija natjecanja'!H2)=TRUE,"",'Organizacija natjecanja'!H2)</f>
      </c>
    </row>
    <row r="3" spans="4:5" ht="12.75" hidden="1">
      <c r="D3" s="57"/>
      <c r="E3" s="58">
        <f>IF(ISNONTEXT('Organizacija natjecanja'!H5)=TRUE,"",'Organizacija natjecanja'!H5)</f>
      </c>
    </row>
    <row r="4" spans="4:5" ht="12.75" hidden="1">
      <c r="D4" s="57"/>
      <c r="E4" s="58"/>
    </row>
    <row r="5" spans="2:5" ht="12.75" hidden="1">
      <c r="B5" s="33" t="str">
        <f>IF(ISNONTEXT('Upis rezultata A sektora'!E2)=TRUE,"","SEKTOR A")</f>
        <v>SEKTOR A</v>
      </c>
      <c r="E5" s="73"/>
    </row>
    <row r="6" ht="12.75" hidden="1">
      <c r="C6" s="57"/>
    </row>
    <row r="7" spans="1:5" ht="25.5" hidden="1">
      <c r="A7" s="59" t="str">
        <f>IF(ISNONTEXT('Upis rezultata A sektora'!E2)=TRUE,"","Sektorski plasman")</f>
        <v>Sektorski plasman</v>
      </c>
      <c r="B7" s="14" t="str">
        <f>IF(ISNONTEXT('Upis rezultata A sektora'!E2)=TRUE,"","Bodova")</f>
        <v>Bodova</v>
      </c>
      <c r="C7" s="59" t="str">
        <f>IF(ISNONTEXT('Upis rezultata A sektora'!E2)=TRUE,"","Startni broj")</f>
        <v>Startni broj</v>
      </c>
      <c r="D7" s="14" t="str">
        <f>IF(ISNONTEXT('Upis rezultata A sektora'!E2)=TRUE,"","Ime i prezime")</f>
        <v>Ime i prezime</v>
      </c>
      <c r="E7" s="14" t="str">
        <f>IF(ISNONTEXT('Upis rezultata A sektora'!E2)=TRUE,"","Ekipa")</f>
        <v>Ekipa</v>
      </c>
    </row>
    <row r="8" spans="1:5" ht="12.75" hidden="1">
      <c r="A8" s="56">
        <f>IF(ISNUMBER('Upis rezultata A sektora'!B2)=FALSE,"",'Upis rezultata A sektora'!B2)</f>
      </c>
      <c r="B8" s="57">
        <f>IF(ISNUMBER('Upis rezultata A sektora'!F2)=FALSE,"",'Upis rezultata A sektora'!F2)</f>
      </c>
      <c r="C8" s="60">
        <f>IF(ISNUMBER('Upis rezultata A sektora'!C2)=FALSE,"",'Upis rezultata A sektora'!C2)</f>
      </c>
      <c r="D8" s="16">
        <f>IF(ISNONTEXT('Upis rezultata A sektora'!E2)=TRUE,"",'Upis rezultata A sektora'!E2)</f>
      </c>
      <c r="E8" s="16">
        <f>IF(ISNONTEXT('Upis rezultata A sektora'!D2)=TRUE,"",'Upis rezultata A sektora'!D2)</f>
      </c>
    </row>
    <row r="9" spans="1:5" ht="12.75" hidden="1">
      <c r="A9" s="56">
        <f>IF(ISNUMBER('Upis rezultata A sektora'!B3)=FALSE,"",'Upis rezultata A sektora'!B3)</f>
      </c>
      <c r="B9" s="57">
        <f>IF(ISNUMBER('Upis rezultata A sektora'!F3)=FALSE,"",'Upis rezultata A sektora'!F3)</f>
      </c>
      <c r="C9" s="60">
        <f>IF(ISNUMBER('Upis rezultata A sektora'!C3)=FALSE,"",'Upis rezultata A sektora'!C3)</f>
      </c>
      <c r="D9" s="16">
        <f>IF(ISNONTEXT('Upis rezultata A sektora'!E3)=TRUE,"",'Upis rezultata A sektora'!E3)</f>
      </c>
      <c r="E9" s="16">
        <f>IF(ISNONTEXT('Upis rezultata A sektora'!D3)=TRUE,"",'Upis rezultata A sektora'!D3)</f>
      </c>
    </row>
    <row r="10" spans="1:5" ht="12.75" hidden="1">
      <c r="A10" s="56">
        <f>IF(ISNUMBER('Upis rezultata A sektora'!B4)=FALSE,"",'Upis rezultata A sektora'!B4)</f>
      </c>
      <c r="B10" s="57">
        <f>IF(ISNUMBER('Upis rezultata A sektora'!F4)=FALSE,"",'Upis rezultata A sektora'!F4)</f>
      </c>
      <c r="C10" s="60">
        <f>IF(ISNUMBER('Upis rezultata A sektora'!C4)=FALSE,"",'Upis rezultata A sektora'!C4)</f>
      </c>
      <c r="D10" s="16">
        <f>IF(ISNONTEXT('Upis rezultata A sektora'!E4)=TRUE,"",'Upis rezultata A sektora'!E4)</f>
      </c>
      <c r="E10" s="16">
        <f>IF(ISNONTEXT('Upis rezultata A sektora'!D4)=TRUE,"",'Upis rezultata A sektora'!D4)</f>
      </c>
    </row>
    <row r="11" spans="1:5" ht="12.75" hidden="1">
      <c r="A11" s="56">
        <f>IF(ISNUMBER('Upis rezultata A sektora'!B12)=FALSE,"",'Upis rezultata A sektora'!B12)</f>
      </c>
      <c r="B11" s="57">
        <f>IF(ISNUMBER('Upis rezultata A sektora'!F12)=FALSE,"",'Upis rezultata A sektora'!F12)</f>
      </c>
      <c r="C11" s="60">
        <f>IF(ISNUMBER('Upis rezultata A sektora'!C12)=FALSE,"",'Upis rezultata A sektora'!C12)</f>
      </c>
      <c r="D11" s="16">
        <f>IF(ISNONTEXT('Upis rezultata A sektora'!E12)=TRUE,"",'Upis rezultata A sektora'!E12)</f>
      </c>
      <c r="E11" s="16">
        <f>IF(ISNONTEXT('Upis rezultata A sektora'!D12)=TRUE,"",'Upis rezultata A sektora'!D12)</f>
      </c>
    </row>
    <row r="12" spans="1:5" ht="12.75" hidden="1">
      <c r="A12" s="56">
        <f>IF(ISNUMBER('Upis rezultata A sektora'!B7)=FALSE,"",'Upis rezultata A sektora'!B7)</f>
      </c>
      <c r="B12" s="57">
        <f>IF(ISNUMBER('Upis rezultata A sektora'!F7)=FALSE,"",'Upis rezultata A sektora'!F7)</f>
      </c>
      <c r="C12" s="60">
        <f>IF(ISNUMBER('Upis rezultata A sektora'!C7)=FALSE,"",'Upis rezultata A sektora'!C7)</f>
      </c>
      <c r="D12" s="16">
        <f>IF(ISNONTEXT('Upis rezultata A sektora'!E7)=TRUE,"",'Upis rezultata A sektora'!E7)</f>
      </c>
      <c r="E12" s="16">
        <f>IF(ISNONTEXT('Upis rezultata A sektora'!D7)=TRUE,"",'Upis rezultata A sektora'!D7)</f>
      </c>
    </row>
    <row r="13" spans="1:5" ht="12.75" hidden="1">
      <c r="A13" s="56">
        <f>IF(ISNUMBER('Upis rezultata A sektora'!B11)=FALSE,"",'Upis rezultata A sektora'!B11)</f>
      </c>
      <c r="B13" s="57">
        <f>IF(ISNUMBER('Upis rezultata A sektora'!F11)=FALSE,"",'Upis rezultata A sektora'!F11)</f>
      </c>
      <c r="C13" s="60">
        <f>IF(ISNUMBER('Upis rezultata A sektora'!C11)=FALSE,"",'Upis rezultata A sektora'!C11)</f>
      </c>
      <c r="D13" s="16">
        <f>IF(ISNONTEXT('Upis rezultata A sektora'!E11)=TRUE,"",'Upis rezultata A sektora'!E11)</f>
      </c>
      <c r="E13" s="16">
        <f>IF(ISNONTEXT('Upis rezultata A sektora'!D11)=TRUE,"",'Upis rezultata A sektora'!D11)</f>
      </c>
    </row>
    <row r="14" spans="1:5" ht="12.75" hidden="1">
      <c r="A14" s="56">
        <f>IF(ISNUMBER('Upis rezultata A sektora'!B13)=FALSE,"",'Upis rezultata A sektora'!B13)</f>
      </c>
      <c r="B14" s="57">
        <f>IF(ISNUMBER('Upis rezultata A sektora'!F13)=FALSE,"",'Upis rezultata A sektora'!F13)</f>
      </c>
      <c r="C14" s="60">
        <f>IF(ISNUMBER('Upis rezultata A sektora'!C13)=FALSE,"",'Upis rezultata A sektora'!C13)</f>
      </c>
      <c r="D14" s="16">
        <f>IF(ISNONTEXT('Upis rezultata A sektora'!E13)=TRUE,"",'Upis rezultata A sektora'!E13)</f>
      </c>
      <c r="E14" s="16">
        <f>IF(ISNONTEXT('Upis rezultata A sektora'!D13)=TRUE,"",'Upis rezultata A sektora'!D13)</f>
      </c>
    </row>
    <row r="15" spans="1:5" ht="12.75" hidden="1">
      <c r="A15" s="56">
        <f>IF(ISNUMBER('Upis rezultata A sektora'!B10)=FALSE,"",'Upis rezultata A sektora'!B10)</f>
      </c>
      <c r="B15" s="57">
        <f>IF(ISNUMBER('Upis rezultata A sektora'!F10)=FALSE,"",'Upis rezultata A sektora'!F10)</f>
      </c>
      <c r="C15" s="60">
        <f>IF(ISNUMBER('Upis rezultata A sektora'!C10)=FALSE,"",'Upis rezultata A sektora'!C10)</f>
      </c>
      <c r="D15" s="16">
        <f>IF(ISNONTEXT('Upis rezultata A sektora'!E10)=TRUE,"",'Upis rezultata A sektora'!E10)</f>
      </c>
      <c r="E15" s="16">
        <f>IF(ISNONTEXT('Upis rezultata A sektora'!D10)=TRUE,"",'Upis rezultata A sektora'!D10)</f>
      </c>
    </row>
    <row r="16" spans="1:5" ht="12.75" hidden="1">
      <c r="A16" s="56">
        <f>IF(ISNUMBER('Upis rezultata A sektora'!B9)=FALSE,"",'Upis rezultata A sektora'!B9)</f>
      </c>
      <c r="B16" s="57">
        <f>IF(ISNUMBER('Upis rezultata A sektora'!F9)=FALSE,"",'Upis rezultata A sektora'!F9)</f>
      </c>
      <c r="C16" s="60">
        <f>IF(ISNUMBER('Upis rezultata A sektora'!C9)=FALSE,"",'Upis rezultata A sektora'!C9)</f>
      </c>
      <c r="D16" s="16">
        <f>IF(ISNONTEXT('Upis rezultata A sektora'!E9)=TRUE,"",'Upis rezultata A sektora'!E9)</f>
      </c>
      <c r="E16" s="16">
        <f>IF(ISNONTEXT('Upis rezultata A sektora'!D9)=TRUE,"",'Upis rezultata A sektora'!D9)</f>
      </c>
    </row>
    <row r="17" spans="1:5" ht="12.75" hidden="1">
      <c r="A17" s="56">
        <f>IF(ISNUMBER('Upis rezultata A sektora'!B8)=FALSE,"",'Upis rezultata A sektora'!B8)</f>
      </c>
      <c r="B17" s="57">
        <f>IF(ISNUMBER('Upis rezultata A sektora'!F8)=FALSE,"",'Upis rezultata A sektora'!F8)</f>
      </c>
      <c r="C17" s="60">
        <f>IF(ISNUMBER('Upis rezultata A sektora'!C8)=FALSE,"",'Upis rezultata A sektora'!C8)</f>
      </c>
      <c r="D17" s="16">
        <f>IF(ISNONTEXT('Upis rezultata A sektora'!E8)=TRUE,"",'Upis rezultata A sektora'!E8)</f>
      </c>
      <c r="E17" s="16">
        <f>IF(ISNONTEXT('Upis rezultata A sektora'!D8)=TRUE,"",'Upis rezultata A sektora'!D8)</f>
      </c>
    </row>
    <row r="18" spans="1:5" ht="12.75" hidden="1">
      <c r="A18" s="56">
        <f>IF(ISNUMBER('Upis rezultata A sektora'!B5)=FALSE,"",'Upis rezultata A sektora'!B5)</f>
      </c>
      <c r="B18" s="57">
        <f>IF(ISNUMBER('Upis rezultata A sektora'!F5)=FALSE,"",'Upis rezultata A sektora'!F5)</f>
      </c>
      <c r="C18" s="60">
        <f>IF(ISNUMBER('Upis rezultata A sektora'!C5)=FALSE,"",'Upis rezultata A sektora'!C5)</f>
      </c>
      <c r="D18" s="16">
        <f>IF(ISNONTEXT('Upis rezultata A sektora'!E5)=TRUE,"",'Upis rezultata A sektora'!E5)</f>
      </c>
      <c r="E18" s="16">
        <f>IF(ISNONTEXT('Upis rezultata A sektora'!D5)=TRUE,"",'Upis rezultata A sektora'!D5)</f>
      </c>
    </row>
    <row r="19" spans="1:5" ht="12.75" hidden="1">
      <c r="A19" s="56">
        <f>IF(ISNUMBER('Upis rezultata A sektora'!B6)=FALSE,"",'Upis rezultata A sektora'!B6)</f>
      </c>
      <c r="B19" s="57">
        <f>IF(ISNUMBER('Upis rezultata A sektora'!F6)=FALSE,"",'Upis rezultata A sektora'!F6)</f>
      </c>
      <c r="C19" s="60">
        <f>IF(ISNUMBER('Upis rezultata A sektora'!C6)=FALSE,"",'Upis rezultata A sektora'!C6)</f>
      </c>
      <c r="D19" s="16">
        <f>IF(ISNONTEXT('Upis rezultata A sektora'!E6)=TRUE,"",'Upis rezultata A sektora'!E6)</f>
      </c>
      <c r="E19" s="16">
        <f>IF(ISNONTEXT('Upis rezultata A sektora'!D6)=TRUE,"",'Upis rezultata A sektora'!D6)</f>
      </c>
    </row>
    <row r="20" ht="12.75" hidden="1"/>
    <row r="21" ht="12.75" hidden="1"/>
    <row r="22" ht="12.75" hidden="1">
      <c r="B22" s="33" t="str">
        <f>IF(ISNONTEXT('Upis rezultata B sektora'!E2)=TRUE,"","SEKTOR B")</f>
        <v>SEKTOR B</v>
      </c>
    </row>
    <row r="23" ht="12.75" hidden="1">
      <c r="C23" s="57"/>
    </row>
    <row r="24" spans="1:5" ht="25.5" hidden="1">
      <c r="A24" s="59" t="str">
        <f>IF(ISNONTEXT('Upis rezultata B sektora'!E2)=TRUE,"","Sektorski plasman")</f>
        <v>Sektorski plasman</v>
      </c>
      <c r="B24" s="14" t="str">
        <f>IF(ISNONTEXT('Upis rezultata B sektora'!E2)=TRUE,"","Bodova")</f>
        <v>Bodova</v>
      </c>
      <c r="C24" s="59" t="str">
        <f>IF(ISNONTEXT('Upis rezultata B sektora'!E2)=TRUE,"","Startni broj")</f>
        <v>Startni broj</v>
      </c>
      <c r="D24" s="14" t="str">
        <f>IF(ISNONTEXT('Upis rezultata B sektora'!E2)=TRUE,"","Ime i prezime")</f>
        <v>Ime i prezime</v>
      </c>
      <c r="E24" s="14" t="str">
        <f>IF(ISNONTEXT('Upis rezultata B sektora'!E2)=TRUE,"","Ekipa")</f>
        <v>Ekipa</v>
      </c>
    </row>
    <row r="25" spans="1:5" ht="12.75" hidden="1">
      <c r="A25" s="56">
        <f>IF(ISNUMBER('Upis rezultata B sektora'!B2)=FALSE,"",'Upis rezultata B sektora'!B2)</f>
      </c>
      <c r="B25" s="57">
        <f>IF(ISNUMBER('Upis rezultata B sektora'!F2)=FALSE,"",'Upis rezultata B sektora'!F2)</f>
      </c>
      <c r="C25" s="60">
        <f>IF(ISNUMBER('Upis rezultata B sektora'!C2)=FALSE,"",'Upis rezultata B sektora'!C2)</f>
      </c>
      <c r="D25" s="16">
        <f>IF(ISNONTEXT('Upis rezultata B sektora'!E2)=TRUE,"",'Upis rezultata B sektora'!E2)</f>
      </c>
      <c r="E25" s="16">
        <f>IF(ISNONTEXT('Upis rezultata B sektora'!D2)=TRUE,"",'Upis rezultata B sektora'!D2)</f>
      </c>
    </row>
    <row r="26" spans="1:5" ht="12.75" hidden="1">
      <c r="A26" s="56">
        <f>IF(ISNUMBER('Upis rezultata B sektora'!B13)=FALSE,"",'Upis rezultata B sektora'!B13)</f>
      </c>
      <c r="B26" s="57">
        <f>IF(ISNUMBER('Upis rezultata B sektora'!F13)=FALSE,"",'Upis rezultata B sektora'!F13)</f>
      </c>
      <c r="C26" s="60">
        <f>IF(ISNUMBER('Upis rezultata B sektora'!C13)=FALSE,"",'Upis rezultata B sektora'!C13)</f>
      </c>
      <c r="D26" s="16">
        <f>IF(ISNONTEXT('Upis rezultata B sektora'!E13)=TRUE,"",'Upis rezultata B sektora'!E13)</f>
      </c>
      <c r="E26" s="16">
        <f>IF(ISNONTEXT('Upis rezultata B sektora'!D13)=TRUE,"",'Upis rezultata B sektora'!D13)</f>
      </c>
    </row>
    <row r="27" spans="1:5" ht="12.75" hidden="1">
      <c r="A27" s="56">
        <f>IF(ISNUMBER('Upis rezultata B sektora'!B3)=FALSE,"",'Upis rezultata B sektora'!B3)</f>
      </c>
      <c r="B27" s="57">
        <f>IF(ISNUMBER('Upis rezultata B sektora'!F3)=FALSE,"",'Upis rezultata B sektora'!F3)</f>
      </c>
      <c r="C27" s="60">
        <f>IF(ISNUMBER('Upis rezultata B sektora'!C3)=FALSE,"",'Upis rezultata B sektora'!C3)</f>
      </c>
      <c r="D27" s="16">
        <f>IF(ISNONTEXT('Upis rezultata B sektora'!E3)=TRUE,"",'Upis rezultata B sektora'!E3)</f>
      </c>
      <c r="E27" s="16">
        <f>IF(ISNONTEXT('Upis rezultata B sektora'!D3)=TRUE,"",'Upis rezultata B sektora'!D3)</f>
      </c>
    </row>
    <row r="28" spans="1:5" ht="12.75" hidden="1">
      <c r="A28" s="56">
        <f>IF(ISNUMBER('Upis rezultata B sektora'!B4)=FALSE,"",'Upis rezultata B sektora'!B4)</f>
      </c>
      <c r="B28" s="57">
        <f>IF(ISNUMBER('Upis rezultata B sektora'!F4)=FALSE,"",'Upis rezultata B sektora'!F4)</f>
      </c>
      <c r="C28" s="60">
        <f>IF(ISNUMBER('Upis rezultata B sektora'!C4)=FALSE,"",'Upis rezultata B sektora'!C4)</f>
      </c>
      <c r="D28" s="16">
        <f>IF(ISNONTEXT('Upis rezultata B sektora'!E4)=TRUE,"",'Upis rezultata B sektora'!E4)</f>
      </c>
      <c r="E28" s="16">
        <f>IF(ISNONTEXT('Upis rezultata B sektora'!D4)=TRUE,"",'Upis rezultata B sektora'!D4)</f>
      </c>
    </row>
    <row r="29" spans="1:5" ht="12.75" hidden="1">
      <c r="A29" s="56">
        <f>IF(ISNUMBER('Upis rezultata B sektora'!B5)=FALSE,"",'Upis rezultata B sektora'!B5)</f>
      </c>
      <c r="B29" s="57">
        <f>IF(ISNUMBER('Upis rezultata B sektora'!F5)=FALSE,"",'Upis rezultata B sektora'!F5)</f>
      </c>
      <c r="C29" s="60">
        <f>IF(ISNUMBER('Upis rezultata B sektora'!C5)=FALSE,"",'Upis rezultata B sektora'!C5)</f>
      </c>
      <c r="D29" s="16">
        <f>IF(ISNONTEXT('Upis rezultata B sektora'!E5)=TRUE,"",'Upis rezultata B sektora'!E5)</f>
      </c>
      <c r="E29" s="16">
        <f>IF(ISNONTEXT('Upis rezultata B sektora'!D5)=TRUE,"",'Upis rezultata B sektora'!D5)</f>
      </c>
    </row>
    <row r="30" spans="1:5" ht="12.75" hidden="1">
      <c r="A30" s="56">
        <f>IF(ISNUMBER('Upis rezultata B sektora'!B9)=FALSE,"",'Upis rezultata B sektora'!B9)</f>
      </c>
      <c r="B30" s="57">
        <f>IF(ISNUMBER('Upis rezultata B sektora'!F9)=FALSE,"",'Upis rezultata B sektora'!F9)</f>
      </c>
      <c r="C30" s="60">
        <f>IF(ISNUMBER('Upis rezultata B sektora'!C9)=FALSE,"",'Upis rezultata B sektora'!C9)</f>
      </c>
      <c r="D30" s="16">
        <f>IF(ISNONTEXT('Upis rezultata B sektora'!E9)=TRUE,"",'Upis rezultata B sektora'!E9)</f>
      </c>
      <c r="E30" s="16">
        <f>IF(ISNONTEXT('Upis rezultata B sektora'!D9)=TRUE,"",'Upis rezultata B sektora'!D9)</f>
      </c>
    </row>
    <row r="31" spans="1:5" ht="12.75" hidden="1">
      <c r="A31" s="56">
        <f>IF(ISNUMBER('Upis rezultata B sektora'!B8)=FALSE,"",'Upis rezultata B sektora'!B8)</f>
      </c>
      <c r="B31" s="57">
        <f>IF(ISNUMBER('Upis rezultata B sektora'!F8)=FALSE,"",'Upis rezultata B sektora'!F8)</f>
      </c>
      <c r="C31" s="60">
        <f>IF(ISNUMBER('Upis rezultata B sektora'!C8)=FALSE,"",'Upis rezultata B sektora'!C8)</f>
      </c>
      <c r="D31" s="16">
        <f>IF(ISNONTEXT('Upis rezultata B sektora'!E8)=TRUE,"",'Upis rezultata B sektora'!E8)</f>
      </c>
      <c r="E31" s="16">
        <f>IF(ISNONTEXT('Upis rezultata B sektora'!D8)=TRUE,"",'Upis rezultata B sektora'!D8)</f>
      </c>
    </row>
    <row r="32" spans="1:5" ht="12.75" hidden="1">
      <c r="A32" s="56">
        <f>IF(ISNUMBER('Upis rezultata B sektora'!B12)=FALSE,"",'Upis rezultata B sektora'!B12)</f>
      </c>
      <c r="B32" s="57">
        <f>IF(ISNUMBER('Upis rezultata B sektora'!F12)=FALSE,"",'Upis rezultata B sektora'!F12)</f>
      </c>
      <c r="C32" s="60">
        <f>IF(ISNUMBER('Upis rezultata B sektora'!C12)=FALSE,"",'Upis rezultata B sektora'!C12)</f>
      </c>
      <c r="D32" s="16">
        <f>IF(ISNONTEXT('Upis rezultata B sektora'!E12)=TRUE,"",'Upis rezultata B sektora'!E12)</f>
      </c>
      <c r="E32" s="16">
        <f>IF(ISNONTEXT('Upis rezultata B sektora'!D12)=TRUE,"",'Upis rezultata B sektora'!D12)</f>
      </c>
    </row>
    <row r="33" spans="1:5" ht="12.75" hidden="1">
      <c r="A33" s="56">
        <f>IF(ISNUMBER('Upis rezultata B sektora'!B11)=FALSE,"",'Upis rezultata B sektora'!B11)</f>
      </c>
      <c r="B33" s="57">
        <f>IF(ISNUMBER('Upis rezultata B sektora'!F11)=FALSE,"",'Upis rezultata B sektora'!F11)</f>
      </c>
      <c r="C33" s="60">
        <f>IF(ISNUMBER('Upis rezultata B sektora'!C11)=FALSE,"",'Upis rezultata B sektora'!C11)</f>
      </c>
      <c r="D33" s="16">
        <f>IF(ISNONTEXT('Upis rezultata B sektora'!E11)=TRUE,"",'Upis rezultata B sektora'!E11)</f>
      </c>
      <c r="E33" s="16">
        <f>IF(ISNONTEXT('Upis rezultata B sektora'!D11)=TRUE,"",'Upis rezultata B sektora'!D11)</f>
      </c>
    </row>
    <row r="34" spans="1:5" ht="12.75" hidden="1">
      <c r="A34" s="56">
        <f>IF(ISNUMBER('Upis rezultata B sektora'!B10)=FALSE,"",'Upis rezultata B sektora'!B10)</f>
      </c>
      <c r="B34" s="57">
        <f>IF(ISNUMBER('Upis rezultata B sektora'!F10)=FALSE,"",'Upis rezultata B sektora'!F10)</f>
      </c>
      <c r="C34" s="60">
        <f>IF(ISNUMBER('Upis rezultata B sektora'!C10)=FALSE,"",'Upis rezultata B sektora'!C10)</f>
      </c>
      <c r="D34" s="16">
        <f>IF(ISNONTEXT('Upis rezultata B sektora'!E10)=TRUE,"",'Upis rezultata B sektora'!E10)</f>
      </c>
      <c r="E34" s="16">
        <f>IF(ISNONTEXT('Upis rezultata B sektora'!D10)=TRUE,"",'Upis rezultata B sektora'!D10)</f>
      </c>
    </row>
    <row r="35" spans="1:5" ht="12.75" hidden="1">
      <c r="A35" s="56">
        <f>IF(ISNUMBER('Upis rezultata B sektora'!B7)=FALSE,"",'Upis rezultata B sektora'!B7)</f>
      </c>
      <c r="B35" s="57">
        <f>IF(ISNUMBER('Upis rezultata B sektora'!F7)=FALSE,"",'Upis rezultata B sektora'!F7)</f>
      </c>
      <c r="C35" s="60">
        <f>IF(ISNUMBER('Upis rezultata B sektora'!C7)=FALSE,"",'Upis rezultata B sektora'!C7)</f>
      </c>
      <c r="D35" s="16">
        <f>IF(ISNONTEXT('Upis rezultata B sektora'!E7)=TRUE,"",'Upis rezultata B sektora'!E7)</f>
      </c>
      <c r="E35" s="16">
        <f>IF(ISNONTEXT('Upis rezultata B sektora'!D7)=TRUE,"",'Upis rezultata B sektora'!D7)</f>
      </c>
    </row>
    <row r="36" spans="1:5" ht="12.75" hidden="1">
      <c r="A36" s="56">
        <f>IF(ISNUMBER('Upis rezultata B sektora'!B6)=FALSE,"",'Upis rezultata B sektora'!B6)</f>
      </c>
      <c r="B36" s="57">
        <f>IF(ISNUMBER('Upis rezultata B sektora'!F6)=FALSE,"",'Upis rezultata B sektora'!F6)</f>
      </c>
      <c r="C36" s="60">
        <f>IF(ISNUMBER('Upis rezultata B sektora'!C6)=FALSE,"",'Upis rezultata B sektora'!C6)</f>
      </c>
      <c r="D36" s="16">
        <f>IF(ISNONTEXT('Upis rezultata B sektora'!E6)=TRUE,"",'Upis rezultata B sektora'!E6)</f>
      </c>
      <c r="E36" s="16">
        <f>IF(ISNONTEXT('Upis rezultata B sektora'!D6)=TRUE,"",'Upis rezultata B sektora'!D6)</f>
      </c>
    </row>
    <row r="37" ht="12.75" hidden="1"/>
    <row r="38" ht="12.75" hidden="1"/>
    <row r="39" ht="12.75" hidden="1">
      <c r="B39" s="33" t="str">
        <f>IF(ISNONTEXT('Upis rezultata C sektora'!E2)=TRUE,"","SEKTOR C")</f>
        <v>SEKTOR C</v>
      </c>
    </row>
    <row r="40" ht="12.75" hidden="1">
      <c r="C40" s="57"/>
    </row>
    <row r="41" spans="1:5" ht="25.5" hidden="1">
      <c r="A41" s="59" t="str">
        <f>IF(ISNONTEXT('Upis rezultata C sektora'!E2)=TRUE,"","Sektorski plasman")</f>
        <v>Sektorski plasman</v>
      </c>
      <c r="B41" s="14" t="str">
        <f>IF(ISNONTEXT('Upis rezultata C sektora'!E2)=TRUE,"","Bodova")</f>
        <v>Bodova</v>
      </c>
      <c r="C41" s="59" t="str">
        <f>IF(ISNONTEXT('Upis rezultata C sektora'!E2)=TRUE,"","Startni broj")</f>
        <v>Startni broj</v>
      </c>
      <c r="D41" s="14" t="str">
        <f>IF(ISNONTEXT('Upis rezultata C sektora'!E2)=TRUE,"","Ime i prezime")</f>
        <v>Ime i prezime</v>
      </c>
      <c r="E41" s="14" t="str">
        <f>IF(ISNONTEXT('Upis rezultata C sektora'!E2)=TRUE,"","Ekipa")</f>
        <v>Ekipa</v>
      </c>
    </row>
    <row r="42" spans="1:5" ht="12.75" hidden="1">
      <c r="A42" s="56">
        <f>IF(ISNUMBER('Upis rezultata C sektora'!B2)=FALSE,"",'Upis rezultata C sektora'!B2)</f>
      </c>
      <c r="B42" s="57">
        <f>IF(ISNUMBER('Upis rezultata C sektora'!F2)=FALSE,"",'Upis rezultata C sektora'!F2)</f>
      </c>
      <c r="C42" s="60">
        <f>IF(ISNUMBER('Upis rezultata C sektora'!C2)=FALSE,"",'Upis rezultata C sektora'!C2)</f>
      </c>
      <c r="D42" s="16">
        <f>IF(ISNONTEXT('Upis rezultata C sektora'!E2)=TRUE,"",'Upis rezultata C sektora'!E2)</f>
      </c>
      <c r="E42" s="16">
        <f>IF(ISNONTEXT('Upis rezultata C sektora'!D2)=TRUE,"",'Upis rezultata C sektora'!D2)</f>
      </c>
    </row>
    <row r="43" spans="1:5" ht="12.75" hidden="1">
      <c r="A43" s="56">
        <f>IF(ISNUMBER('Upis rezultata C sektora'!B4)=FALSE,"",'Upis rezultata C sektora'!B4)</f>
      </c>
      <c r="B43" s="57">
        <f>IF(ISNUMBER('Upis rezultata C sektora'!F4)=FALSE,"",'Upis rezultata C sektora'!F4)</f>
      </c>
      <c r="C43" s="60">
        <f>IF(ISNUMBER('Upis rezultata C sektora'!C4)=FALSE,"",'Upis rezultata C sektora'!C4)</f>
      </c>
      <c r="D43" s="16">
        <f>IF(ISNONTEXT('Upis rezultata C sektora'!E4)=TRUE,"",'Upis rezultata C sektora'!E4)</f>
      </c>
      <c r="E43" s="16">
        <f>IF(ISNONTEXT('Upis rezultata C sektora'!D4)=TRUE,"",'Upis rezultata C sektora'!D4)</f>
      </c>
    </row>
    <row r="44" spans="1:5" ht="12.75" hidden="1">
      <c r="A44" s="56">
        <f>IF(ISNUMBER('Upis rezultata C sektora'!B13)=FALSE,"",'Upis rezultata C sektora'!B13)</f>
      </c>
      <c r="B44" s="57">
        <f>IF(ISNUMBER('Upis rezultata C sektora'!F13)=FALSE,"",'Upis rezultata C sektora'!F13)</f>
      </c>
      <c r="C44" s="60">
        <f>IF(ISNUMBER('Upis rezultata C sektora'!C13)=FALSE,"",'Upis rezultata C sektora'!C13)</f>
      </c>
      <c r="D44" s="16">
        <f>IF(ISNONTEXT('Upis rezultata C sektora'!E13)=TRUE,"",'Upis rezultata C sektora'!E13)</f>
      </c>
      <c r="E44" s="16">
        <f>IF(ISNONTEXT('Upis rezultata C sektora'!D13)=TRUE,"",'Upis rezultata C sektora'!D13)</f>
      </c>
    </row>
    <row r="45" spans="1:5" ht="12.75" hidden="1">
      <c r="A45" s="56">
        <f>IF(ISNUMBER('Upis rezultata C sektora'!B7)=FALSE,"",'Upis rezultata C sektora'!B7)</f>
      </c>
      <c r="B45" s="57">
        <f>IF(ISNUMBER('Upis rezultata C sektora'!F7)=FALSE,"",'Upis rezultata C sektora'!F7)</f>
      </c>
      <c r="C45" s="60">
        <f>IF(ISNUMBER('Upis rezultata C sektora'!C7)=FALSE,"",'Upis rezultata C sektora'!C7)</f>
      </c>
      <c r="D45" s="16">
        <f>IF(ISNONTEXT('Upis rezultata C sektora'!E7)=TRUE,"",'Upis rezultata C sektora'!E7)</f>
      </c>
      <c r="E45" s="16">
        <f>IF(ISNONTEXT('Upis rezultata C sektora'!D7)=TRUE,"",'Upis rezultata C sektora'!D7)</f>
      </c>
    </row>
    <row r="46" spans="1:5" ht="12.75" hidden="1">
      <c r="A46" s="56">
        <f>IF(ISNUMBER('Upis rezultata C sektora'!B8)=FALSE,"",'Upis rezultata C sektora'!B8)</f>
      </c>
      <c r="B46" s="57">
        <f>IF(ISNUMBER('Upis rezultata C sektora'!F8)=FALSE,"",'Upis rezultata C sektora'!F8)</f>
      </c>
      <c r="C46" s="60">
        <f>IF(ISNUMBER('Upis rezultata C sektora'!C8)=FALSE,"",'Upis rezultata C sektora'!C8)</f>
      </c>
      <c r="D46" s="16">
        <f>IF(ISNONTEXT('Upis rezultata C sektora'!E8)=TRUE,"",'Upis rezultata C sektora'!E8)</f>
      </c>
      <c r="E46" s="16">
        <f>IF(ISNONTEXT('Upis rezultata C sektora'!D8)=TRUE,"",'Upis rezultata C sektora'!D8)</f>
      </c>
    </row>
    <row r="47" spans="1:5" ht="12.75" hidden="1">
      <c r="A47" s="56">
        <f>IF(ISNUMBER('Upis rezultata C sektora'!B12)=FALSE,"",'Upis rezultata C sektora'!B12)</f>
      </c>
      <c r="B47" s="57">
        <f>IF(ISNUMBER('Upis rezultata C sektora'!F12)=FALSE,"",'Upis rezultata C sektora'!F12)</f>
      </c>
      <c r="C47" s="60">
        <f>IF(ISNUMBER('Upis rezultata C sektora'!C12)=FALSE,"",'Upis rezultata C sektora'!C12)</f>
      </c>
      <c r="D47" s="16">
        <f>IF(ISNONTEXT('Upis rezultata C sektora'!E12)=TRUE,"",'Upis rezultata C sektora'!E12)</f>
      </c>
      <c r="E47" s="16">
        <f>IF(ISNONTEXT('Upis rezultata C sektora'!D12)=TRUE,"",'Upis rezultata C sektora'!D12)</f>
      </c>
    </row>
    <row r="48" spans="1:5" ht="12.75" hidden="1">
      <c r="A48" s="56">
        <f>IF(ISNUMBER('Upis rezultata C sektora'!B11)=FALSE,"",'Upis rezultata C sektora'!B11)</f>
      </c>
      <c r="B48" s="57">
        <f>IF(ISNUMBER('Upis rezultata C sektora'!F11)=FALSE,"",'Upis rezultata C sektora'!F11)</f>
      </c>
      <c r="C48" s="60">
        <f>IF(ISNUMBER('Upis rezultata C sektora'!C11)=FALSE,"",'Upis rezultata C sektora'!C11)</f>
      </c>
      <c r="D48" s="16">
        <f>IF(ISNONTEXT('Upis rezultata C sektora'!E11)=TRUE,"",'Upis rezultata C sektora'!E11)</f>
      </c>
      <c r="E48" s="16">
        <f>IF(ISNONTEXT('Upis rezultata C sektora'!D11)=TRUE,"",'Upis rezultata C sektora'!D11)</f>
      </c>
    </row>
    <row r="49" spans="1:5" ht="12.75" hidden="1">
      <c r="A49" s="56">
        <f>IF(ISNUMBER('Upis rezultata C sektora'!B3)=FALSE,"",'Upis rezultata C sektora'!B3)</f>
      </c>
      <c r="B49" s="57">
        <f>IF(ISNUMBER('Upis rezultata C sektora'!F3)=FALSE,"",'Upis rezultata C sektora'!F3)</f>
      </c>
      <c r="C49" s="60">
        <f>IF(ISNUMBER('Upis rezultata C sektora'!C3)=FALSE,"",'Upis rezultata C sektora'!C3)</f>
      </c>
      <c r="D49" s="16">
        <f>IF(ISNONTEXT('Upis rezultata C sektora'!E3)=TRUE,"",'Upis rezultata C sektora'!E3)</f>
      </c>
      <c r="E49" s="16">
        <f>IF(ISNONTEXT('Upis rezultata C sektora'!D3)=TRUE,"",'Upis rezultata C sektora'!D3)</f>
      </c>
    </row>
    <row r="50" spans="1:5" ht="12.75" hidden="1">
      <c r="A50" s="56">
        <f>IF(ISNUMBER('Upis rezultata C sektora'!B9)=FALSE,"",'Upis rezultata C sektora'!B9)</f>
      </c>
      <c r="B50" s="57">
        <f>IF(ISNUMBER('Upis rezultata C sektora'!F9)=FALSE,"",'Upis rezultata C sektora'!F9)</f>
      </c>
      <c r="C50" s="60">
        <f>IF(ISNUMBER('Upis rezultata C sektora'!C9)=FALSE,"",'Upis rezultata C sektora'!C9)</f>
      </c>
      <c r="D50" s="16">
        <f>IF(ISNONTEXT('Upis rezultata C sektora'!E9)=TRUE,"",'Upis rezultata C sektora'!E9)</f>
      </c>
      <c r="E50" s="16">
        <f>IF(ISNONTEXT('Upis rezultata C sektora'!D9)=TRUE,"",'Upis rezultata C sektora'!D9)</f>
      </c>
    </row>
    <row r="51" spans="1:5" ht="12.75" hidden="1">
      <c r="A51" s="56">
        <f>IF(ISNUMBER('Upis rezultata C sektora'!B6)=FALSE,"",'Upis rezultata C sektora'!B6)</f>
      </c>
      <c r="B51" s="57">
        <f>IF(ISNUMBER('Upis rezultata C sektora'!F6)=FALSE,"",'Upis rezultata C sektora'!F6)</f>
      </c>
      <c r="C51" s="60">
        <f>IF(ISNUMBER('Upis rezultata C sektora'!C6)=FALSE,"",'Upis rezultata C sektora'!C6)</f>
      </c>
      <c r="D51" s="16">
        <f>IF(ISNONTEXT('Upis rezultata C sektora'!E6)=TRUE,"",'Upis rezultata C sektora'!E6)</f>
      </c>
      <c r="E51" s="16">
        <f>IF(ISNONTEXT('Upis rezultata C sektora'!D6)=TRUE,"",'Upis rezultata C sektora'!D6)</f>
      </c>
    </row>
    <row r="52" spans="1:5" ht="12.75" hidden="1">
      <c r="A52" s="56">
        <f>IF(ISNUMBER('Upis rezultata C sektora'!B5)=FALSE,"",'Upis rezultata C sektora'!B5)</f>
      </c>
      <c r="B52" s="57">
        <f>IF(ISNUMBER('Upis rezultata C sektora'!F5)=FALSE,"",'Upis rezultata C sektora'!F5)</f>
      </c>
      <c r="C52" s="60">
        <f>IF(ISNUMBER('Upis rezultata C sektora'!C5)=FALSE,"",'Upis rezultata C sektora'!C5)</f>
      </c>
      <c r="D52" s="16">
        <f>IF(ISNONTEXT('Upis rezultata C sektora'!E5)=TRUE,"",'Upis rezultata C sektora'!E5)</f>
      </c>
      <c r="E52" s="16">
        <f>IF(ISNONTEXT('Upis rezultata C sektora'!D5)=TRUE,"",'Upis rezultata C sektora'!D5)</f>
      </c>
    </row>
    <row r="53" spans="1:5" ht="12.75" hidden="1">
      <c r="A53" s="56">
        <f>IF(ISNUMBER('Upis rezultata C sektora'!B10)=FALSE,"",'Upis rezultata C sektora'!B10)</f>
      </c>
      <c r="B53" s="57">
        <f>IF(ISNUMBER('Upis rezultata C sektora'!F10)=FALSE,"",'Upis rezultata C sektora'!F10)</f>
      </c>
      <c r="C53" s="60">
        <f>IF(ISNUMBER('Upis rezultata C sektora'!C10)=FALSE,"",'Upis rezultata C sektora'!C10)</f>
      </c>
      <c r="D53" s="16">
        <f>IF(ISNONTEXT('Upis rezultata C sektora'!E10)=TRUE,"",'Upis rezultata C sektora'!E10)</f>
      </c>
      <c r="E53" s="16">
        <f>IF(ISNONTEXT('Upis rezultata C sektora'!D10)=TRUE,"",'Upis rezultata C sektora'!D10)</f>
      </c>
    </row>
    <row r="54" ht="12.75" hidden="1"/>
    <row r="55" ht="12.75" hidden="1"/>
    <row r="56" ht="12.75" hidden="1"/>
    <row r="57" ht="12.75" hidden="1"/>
    <row r="58" ht="12.75" hidden="1">
      <c r="B58" s="33" t="str">
        <f>IF(ISNONTEXT('Upis rezultata D sektora'!E2)=TRUE,"","SEKTOR D")</f>
        <v>SEKTOR D</v>
      </c>
    </row>
    <row r="59" ht="12.75" hidden="1">
      <c r="C59" s="57"/>
    </row>
    <row r="60" spans="1:5" ht="25.5" hidden="1">
      <c r="A60" s="59" t="str">
        <f>IF(ISNONTEXT('Upis rezultata D sektora'!E2)=TRUE,"","Sektorski plasman")</f>
        <v>Sektorski plasman</v>
      </c>
      <c r="B60" s="14" t="str">
        <f>IF(ISNONTEXT('Upis rezultata D sektora'!E2)=TRUE,"","Bodova")</f>
        <v>Bodova</v>
      </c>
      <c r="C60" s="59" t="str">
        <f>IF(ISNONTEXT('Upis rezultata D sektora'!E2)=TRUE,"","Startni broj")</f>
        <v>Startni broj</v>
      </c>
      <c r="D60" s="14" t="str">
        <f>IF(ISNONTEXT('Upis rezultata D sektora'!E2)=TRUE,"","Ime i prezime")</f>
        <v>Ime i prezime</v>
      </c>
      <c r="E60" s="14" t="str">
        <f>IF(ISNONTEXT('Upis rezultata D sektora'!E2)=TRUE,"","Ekipa")</f>
        <v>Ekipa</v>
      </c>
    </row>
    <row r="61" spans="1:5" ht="12.75" hidden="1">
      <c r="A61" s="56">
        <f>IF(ISNUMBER('Upis rezultata D sektora'!B2)=FALSE,"",'Upis rezultata D sektora'!B2)</f>
      </c>
      <c r="B61" s="57">
        <f>IF(ISNUMBER('Upis rezultata D sektora'!F2)=FALSE,"",'Upis rezultata D sektora'!F2)</f>
      </c>
      <c r="C61" s="60">
        <f>IF(ISNUMBER('Upis rezultata D sektora'!C2)=FALSE,"",'Upis rezultata D sektora'!C2)</f>
      </c>
      <c r="D61" s="16">
        <f>IF(ISNONTEXT('Upis rezultata D sektora'!E2)=TRUE,"",'Upis rezultata D sektora'!E2)</f>
      </c>
      <c r="E61" s="16">
        <f>IF(ISNONTEXT('Upis rezultata D sektora'!D2)=TRUE,"",'Upis rezultata D sektora'!D2)</f>
      </c>
    </row>
    <row r="62" spans="1:5" ht="12.75" hidden="1">
      <c r="A62" s="56">
        <f>IF(ISNUMBER('Upis rezultata D sektora'!B6)=FALSE,"",'Upis rezultata D sektora'!B6)</f>
      </c>
      <c r="B62" s="57">
        <f>IF(ISNUMBER('Upis rezultata D sektora'!F6)=FALSE,"",'Upis rezultata D sektora'!F6)</f>
      </c>
      <c r="C62" s="60">
        <f>IF(ISNUMBER('Upis rezultata D sektora'!C6)=FALSE,"",'Upis rezultata D sektora'!C6)</f>
      </c>
      <c r="D62" s="16">
        <f>IF(ISNONTEXT('Upis rezultata D sektora'!E6)=TRUE,"",'Upis rezultata D sektora'!E6)</f>
      </c>
      <c r="E62" s="16">
        <f>IF(ISNONTEXT('Upis rezultata D sektora'!D6)=TRUE,"",'Upis rezultata D sektora'!D6)</f>
      </c>
    </row>
    <row r="63" spans="1:5" ht="12.75" hidden="1">
      <c r="A63" s="56">
        <f>IF(ISNUMBER('Upis rezultata D sektora'!B13)=FALSE,"",'Upis rezultata D sektora'!B13)</f>
      </c>
      <c r="B63" s="57">
        <f>IF(ISNUMBER('Upis rezultata D sektora'!F13)=FALSE,"",'Upis rezultata D sektora'!F13)</f>
      </c>
      <c r="C63" s="60">
        <f>IF(ISNUMBER('Upis rezultata D sektora'!C13)=FALSE,"",'Upis rezultata D sektora'!C13)</f>
      </c>
      <c r="D63" s="16">
        <f>IF(ISNONTEXT('Upis rezultata D sektora'!E13)=TRUE,"",'Upis rezultata D sektora'!E13)</f>
      </c>
      <c r="E63" s="16">
        <f>IF(ISNONTEXT('Upis rezultata D sektora'!D13)=TRUE,"",'Upis rezultata D sektora'!D13)</f>
      </c>
    </row>
    <row r="64" spans="1:5" ht="12.75" hidden="1">
      <c r="A64" s="56">
        <f>IF(ISNUMBER('Upis rezultata D sektora'!B10)=FALSE,"",'Upis rezultata D sektora'!B10)</f>
      </c>
      <c r="B64" s="57">
        <f>IF(ISNUMBER('Upis rezultata D sektora'!F10)=FALSE,"",'Upis rezultata D sektora'!F10)</f>
      </c>
      <c r="C64" s="60">
        <f>IF(ISNUMBER('Upis rezultata D sektora'!C10)=FALSE,"",'Upis rezultata D sektora'!C10)</f>
      </c>
      <c r="D64" s="16">
        <f>IF(ISNONTEXT('Upis rezultata D sektora'!E10)=TRUE,"",'Upis rezultata D sektora'!E10)</f>
      </c>
      <c r="E64" s="16">
        <f>IF(ISNONTEXT('Upis rezultata D sektora'!D10)=TRUE,"",'Upis rezultata D sektora'!D10)</f>
      </c>
    </row>
    <row r="65" spans="1:5" ht="12.75" hidden="1">
      <c r="A65" s="56">
        <f>IF(ISNUMBER('Upis rezultata D sektora'!B12)=FALSE,"",'Upis rezultata D sektora'!B12)</f>
      </c>
      <c r="B65" s="57">
        <f>IF(ISNUMBER('Upis rezultata D sektora'!F12)=FALSE,"",'Upis rezultata D sektora'!F12)</f>
      </c>
      <c r="C65" s="60">
        <f>IF(ISNUMBER('Upis rezultata D sektora'!C12)=FALSE,"",'Upis rezultata D sektora'!C12)</f>
      </c>
      <c r="D65" s="16">
        <f>IF(ISNONTEXT('Upis rezultata D sektora'!E12)=TRUE,"",'Upis rezultata D sektora'!E12)</f>
      </c>
      <c r="E65" s="16">
        <f>IF(ISNONTEXT('Upis rezultata D sektora'!D12)=TRUE,"",'Upis rezultata D sektora'!D12)</f>
      </c>
    </row>
    <row r="66" spans="1:5" ht="12.75" hidden="1">
      <c r="A66" s="56">
        <f>IF(ISNUMBER('Upis rezultata D sektora'!B11)=FALSE,"",'Upis rezultata D sektora'!B11)</f>
      </c>
      <c r="B66" s="57">
        <f>IF(ISNUMBER('Upis rezultata D sektora'!F11)=FALSE,"",'Upis rezultata D sektora'!F11)</f>
      </c>
      <c r="C66" s="60">
        <f>IF(ISNUMBER('Upis rezultata D sektora'!C11)=FALSE,"",'Upis rezultata D sektora'!C11)</f>
      </c>
      <c r="D66" s="16">
        <f>IF(ISNONTEXT('Upis rezultata D sektora'!E11)=TRUE,"",'Upis rezultata D sektora'!E11)</f>
      </c>
      <c r="E66" s="16">
        <f>IF(ISNONTEXT('Upis rezultata D sektora'!D11)=TRUE,"",'Upis rezultata D sektora'!D11)</f>
      </c>
    </row>
    <row r="67" spans="1:5" ht="12.75" hidden="1">
      <c r="A67" s="56">
        <f>IF(ISNUMBER('Upis rezultata D sektora'!B8)=FALSE,"",'Upis rezultata D sektora'!B8)</f>
      </c>
      <c r="B67" s="57">
        <f>IF(ISNUMBER('Upis rezultata D sektora'!F8)=FALSE,"",'Upis rezultata D sektora'!F8)</f>
      </c>
      <c r="C67" s="60">
        <f>IF(ISNUMBER('Upis rezultata D sektora'!C8)=FALSE,"",'Upis rezultata D sektora'!C8)</f>
      </c>
      <c r="D67" s="16">
        <f>IF(ISNONTEXT('Upis rezultata D sektora'!E8)=TRUE,"",'Upis rezultata D sektora'!E8)</f>
      </c>
      <c r="E67" s="16">
        <f>IF(ISNONTEXT('Upis rezultata D sektora'!D8)=TRUE,"",'Upis rezultata D sektora'!D8)</f>
      </c>
    </row>
    <row r="68" spans="1:5" ht="12.75" hidden="1">
      <c r="A68" s="56">
        <f>IF(ISNUMBER('Upis rezultata D sektora'!B7)=FALSE,"",'Upis rezultata D sektora'!B7)</f>
      </c>
      <c r="B68" s="57">
        <f>IF(ISNUMBER('Upis rezultata D sektora'!F7)=FALSE,"",'Upis rezultata D sektora'!F7)</f>
      </c>
      <c r="C68" s="60">
        <f>IF(ISNUMBER('Upis rezultata D sektora'!C7)=FALSE,"",'Upis rezultata D sektora'!C7)</f>
      </c>
      <c r="D68" s="16">
        <f>IF(ISNONTEXT('Upis rezultata D sektora'!E7)=TRUE,"",'Upis rezultata D sektora'!E7)</f>
      </c>
      <c r="E68" s="16">
        <f>IF(ISNONTEXT('Upis rezultata D sektora'!D7)=TRUE,"",'Upis rezultata D sektora'!D7)</f>
      </c>
    </row>
    <row r="69" spans="1:5" ht="12.75" hidden="1">
      <c r="A69" s="56">
        <f>IF(ISNUMBER('Upis rezultata D sektora'!B5)=FALSE,"",'Upis rezultata D sektora'!B5)</f>
      </c>
      <c r="B69" s="57">
        <f>IF(ISNUMBER('Upis rezultata D sektora'!F5)=FALSE,"",'Upis rezultata D sektora'!F5)</f>
      </c>
      <c r="C69" s="60">
        <f>IF(ISNUMBER('Upis rezultata D sektora'!C5)=FALSE,"",'Upis rezultata D sektora'!C5)</f>
      </c>
      <c r="D69" s="16">
        <f>IF(ISNONTEXT('Upis rezultata D sektora'!E5)=TRUE,"",'Upis rezultata D sektora'!E5)</f>
      </c>
      <c r="E69" s="16">
        <f>IF(ISNONTEXT('Upis rezultata D sektora'!D5)=TRUE,"",'Upis rezultata D sektora'!D5)</f>
      </c>
    </row>
    <row r="70" spans="1:5" ht="12.75" hidden="1">
      <c r="A70" s="56">
        <f>IF(ISNUMBER('Upis rezultata D sektora'!B4)=FALSE,"",'Upis rezultata D sektora'!B4)</f>
      </c>
      <c r="B70" s="57">
        <f>IF(ISNUMBER('Upis rezultata D sektora'!F4)=FALSE,"",'Upis rezultata D sektora'!F4)</f>
      </c>
      <c r="C70" s="60">
        <f>IF(ISNUMBER('Upis rezultata D sektora'!C4)=FALSE,"",'Upis rezultata D sektora'!C4)</f>
      </c>
      <c r="D70" s="16">
        <f>IF(ISNONTEXT('Upis rezultata D sektora'!E4)=TRUE,"",'Upis rezultata D sektora'!E4)</f>
      </c>
      <c r="E70" s="16">
        <f>IF(ISNONTEXT('Upis rezultata D sektora'!D4)=TRUE,"",'Upis rezultata D sektora'!D4)</f>
      </c>
    </row>
    <row r="71" spans="1:5" ht="12.75" hidden="1">
      <c r="A71" s="56">
        <f>IF(ISNUMBER('Upis rezultata D sektora'!B3)=FALSE,"",'Upis rezultata D sektora'!B3)</f>
      </c>
      <c r="B71" s="57">
        <f>IF(ISNUMBER('Upis rezultata D sektora'!F3)=FALSE,"",'Upis rezultata D sektora'!F3)</f>
      </c>
      <c r="C71" s="60">
        <f>IF(ISNUMBER('Upis rezultata D sektora'!C3)=FALSE,"",'Upis rezultata D sektora'!C3)</f>
      </c>
      <c r="D71" s="16">
        <f>IF(ISNONTEXT('Upis rezultata D sektora'!E3)=TRUE,"",'Upis rezultata D sektora'!E3)</f>
      </c>
      <c r="E71" s="16">
        <f>IF(ISNONTEXT('Upis rezultata D sektora'!D3)=TRUE,"",'Upis rezultata D sektora'!D3)</f>
      </c>
    </row>
    <row r="72" spans="1:5" ht="12.75" hidden="1">
      <c r="A72" s="56">
        <f>IF(ISNUMBER('Upis rezultata D sektora'!B9)=FALSE,"",'Upis rezultata D sektora'!B9)</f>
      </c>
      <c r="B72" s="57">
        <f>IF(ISNUMBER('Upis rezultata D sektora'!F9)=FALSE,"",'Upis rezultata D sektora'!F9)</f>
      </c>
      <c r="C72" s="60">
        <f>IF(ISNUMBER('Upis rezultata D sektora'!C9)=FALSE,"",'Upis rezultata D sektora'!C9)</f>
      </c>
      <c r="D72" s="16">
        <f>IF(ISNONTEXT('Upis rezultata D sektora'!E9)=TRUE,"",'Upis rezultata D sektora'!E9)</f>
      </c>
      <c r="E72" s="16">
        <f>IF(ISNONTEXT('Upis rezultata D sektora'!D9)=TRUE,"",'Upis rezultata D sektora'!D9)</f>
      </c>
    </row>
    <row r="73" ht="12.75" hidden="1"/>
    <row r="74" ht="12.75" hidden="1"/>
    <row r="75" ht="12.75" hidden="1">
      <c r="B75" s="33" t="str">
        <f>IF(ISNONTEXT('Upis rezultata E sektora'!E2)=TRUE,"","SEKTOR E")</f>
        <v>SEKTOR E</v>
      </c>
    </row>
    <row r="76" ht="12.75" hidden="1">
      <c r="C76" s="57"/>
    </row>
    <row r="77" spans="1:5" ht="25.5" hidden="1">
      <c r="A77" s="59" t="str">
        <f>IF(ISNONTEXT('Upis rezultata E sektora'!E2)=TRUE,"","Sektorski plasman")</f>
        <v>Sektorski plasman</v>
      </c>
      <c r="B77" s="14" t="str">
        <f>IF(ISNONTEXT('Upis rezultata E sektora'!E2)=TRUE,"","Bodova")</f>
        <v>Bodova</v>
      </c>
      <c r="C77" s="59" t="str">
        <f>IF(ISNONTEXT('Upis rezultata E sektora'!E2)=TRUE,"","Startni broj")</f>
        <v>Startni broj</v>
      </c>
      <c r="D77" s="14" t="str">
        <f>IF(ISNONTEXT('Upis rezultata E sektora'!E2)=TRUE,"","Ime i prezime")</f>
        <v>Ime i prezime</v>
      </c>
      <c r="E77" s="14" t="str">
        <f>IF(ISNONTEXT('Upis rezultata E sektora'!E2)=TRUE,"","Ekipa")</f>
        <v>Ekipa</v>
      </c>
    </row>
    <row r="78" spans="1:5" ht="12.75" hidden="1">
      <c r="A78" s="56">
        <f>IF(ISNUMBER('Upis rezultata E sektora'!B2)=FALSE,"",'Upis rezultata E sektora'!B2)</f>
      </c>
      <c r="B78" s="57">
        <f>IF(ISNUMBER('Upis rezultata E sektora'!F2)=FALSE,"",'Upis rezultata E sektora'!F2)</f>
      </c>
      <c r="C78" s="60">
        <f>IF(ISNUMBER('Upis rezultata E sektora'!C2)=FALSE,"",'Upis rezultata E sektora'!C2)</f>
      </c>
      <c r="D78" s="16">
        <f>IF(ISNONTEXT('Upis rezultata E sektora'!E2)=TRUE,"",'Upis rezultata E sektora'!E2)</f>
      </c>
      <c r="E78" s="16">
        <f>IF(ISNONTEXT('Upis rezultata E sektora'!D2)=TRUE,"",'Upis rezultata E sektora'!D2)</f>
      </c>
    </row>
    <row r="79" spans="1:5" ht="12.75" hidden="1">
      <c r="A79" s="56">
        <f>IF(ISNUMBER('Upis rezultata E sektora'!B13)=FALSE,"",'Upis rezultata E sektora'!B13)</f>
      </c>
      <c r="B79" s="57">
        <f>IF(ISNUMBER('Upis rezultata E sektora'!F13)=FALSE,"",'Upis rezultata E sektora'!F13)</f>
      </c>
      <c r="C79" s="60">
        <f>IF(ISNUMBER('Upis rezultata E sektora'!C13)=FALSE,"",'Upis rezultata E sektora'!C13)</f>
      </c>
      <c r="D79" s="16">
        <f>IF(ISNONTEXT('Upis rezultata E sektora'!E13)=TRUE,"",'Upis rezultata E sektora'!E13)</f>
      </c>
      <c r="E79" s="16">
        <f>IF(ISNONTEXT('Upis rezultata E sektora'!D13)=TRUE,"",'Upis rezultata E sektora'!D13)</f>
      </c>
    </row>
    <row r="80" spans="1:5" ht="12.75" hidden="1">
      <c r="A80" s="56">
        <f>IF(ISNUMBER('Upis rezultata E sektora'!B12)=FALSE,"",'Upis rezultata E sektora'!B12)</f>
      </c>
      <c r="B80" s="57">
        <f>IF(ISNUMBER('Upis rezultata E sektora'!F12)=FALSE,"",'Upis rezultata E sektora'!F12)</f>
      </c>
      <c r="C80" s="60">
        <f>IF(ISNUMBER('Upis rezultata E sektora'!C12)=FALSE,"",'Upis rezultata E sektora'!C12)</f>
      </c>
      <c r="D80" s="16">
        <f>IF(ISNONTEXT('Upis rezultata E sektora'!E12)=TRUE,"",'Upis rezultata E sektora'!E12)</f>
      </c>
      <c r="E80" s="16">
        <f>IF(ISNONTEXT('Upis rezultata E sektora'!D12)=TRUE,"",'Upis rezultata E sektora'!D12)</f>
      </c>
    </row>
    <row r="81" spans="1:5" ht="12.75" hidden="1">
      <c r="A81" s="56">
        <f>IF(ISNUMBER('Upis rezultata E sektora'!B11)=FALSE,"",'Upis rezultata E sektora'!B11)</f>
      </c>
      <c r="B81" s="57">
        <f>IF(ISNUMBER('Upis rezultata E sektora'!F11)=FALSE,"",'Upis rezultata E sektora'!F11)</f>
      </c>
      <c r="C81" s="60">
        <f>IF(ISNUMBER('Upis rezultata E sektora'!C11)=FALSE,"",'Upis rezultata E sektora'!C11)</f>
      </c>
      <c r="D81" s="16">
        <f>IF(ISNONTEXT('Upis rezultata E sektora'!E11)=TRUE,"",'Upis rezultata E sektora'!E11)</f>
      </c>
      <c r="E81" s="16">
        <f>IF(ISNONTEXT('Upis rezultata E sektora'!D11)=TRUE,"",'Upis rezultata E sektora'!D11)</f>
      </c>
    </row>
    <row r="82" spans="1:5" ht="12.75" hidden="1">
      <c r="A82" s="56">
        <f>IF(ISNUMBER('Upis rezultata E sektora'!B10)=FALSE,"",'Upis rezultata E sektora'!B10)</f>
      </c>
      <c r="B82" s="57">
        <f>IF(ISNUMBER('Upis rezultata E sektora'!F10)=FALSE,"",'Upis rezultata E sektora'!F10)</f>
      </c>
      <c r="C82" s="60">
        <f>IF(ISNUMBER('Upis rezultata E sektora'!C10)=FALSE,"",'Upis rezultata E sektora'!C10)</f>
      </c>
      <c r="D82" s="16">
        <f>IF(ISNONTEXT('Upis rezultata E sektora'!E10)=TRUE,"",'Upis rezultata E sektora'!E10)</f>
      </c>
      <c r="E82" s="16">
        <f>IF(ISNONTEXT('Upis rezultata E sektora'!D10)=TRUE,"",'Upis rezultata E sektora'!D10)</f>
      </c>
    </row>
    <row r="83" spans="1:5" ht="12.75" hidden="1">
      <c r="A83" s="56">
        <f>IF(ISNUMBER('Upis rezultata E sektora'!B9)=FALSE,"",'Upis rezultata E sektora'!B9)</f>
      </c>
      <c r="B83" s="57">
        <f>IF(ISNUMBER('Upis rezultata E sektora'!F9)=FALSE,"",'Upis rezultata E sektora'!F9)</f>
      </c>
      <c r="C83" s="60">
        <f>IF(ISNUMBER('Upis rezultata E sektora'!C9)=FALSE,"",'Upis rezultata E sektora'!C9)</f>
      </c>
      <c r="D83" s="16">
        <f>IF(ISNONTEXT('Upis rezultata E sektora'!E9)=TRUE,"",'Upis rezultata E sektora'!E9)</f>
      </c>
      <c r="E83" s="16">
        <f>IF(ISNONTEXT('Upis rezultata E sektora'!D9)=TRUE,"",'Upis rezultata E sektora'!D9)</f>
      </c>
    </row>
    <row r="84" spans="1:5" ht="12.75" hidden="1">
      <c r="A84" s="56">
        <f>IF(ISNUMBER('Upis rezultata E sektora'!B8)=FALSE,"",'Upis rezultata E sektora'!B8)</f>
      </c>
      <c r="B84" s="57">
        <f>IF(ISNUMBER('Upis rezultata E sektora'!F8)=FALSE,"",'Upis rezultata E sektora'!F8)</f>
      </c>
      <c r="C84" s="60">
        <f>IF(ISNUMBER('Upis rezultata E sektora'!C8)=FALSE,"",'Upis rezultata E sektora'!C8)</f>
      </c>
      <c r="D84" s="16">
        <f>IF(ISNONTEXT('Upis rezultata E sektora'!E8)=TRUE,"",'Upis rezultata E sektora'!E8)</f>
      </c>
      <c r="E84" s="16">
        <f>IF(ISNONTEXT('Upis rezultata E sektora'!D8)=TRUE,"",'Upis rezultata E sektora'!D8)</f>
      </c>
    </row>
    <row r="85" spans="1:5" ht="12.75" hidden="1">
      <c r="A85" s="56">
        <f>IF(ISNUMBER('Upis rezultata E sektora'!B7)=FALSE,"",'Upis rezultata E sektora'!B7)</f>
      </c>
      <c r="B85" s="57">
        <f>IF(ISNUMBER('Upis rezultata E sektora'!F7)=FALSE,"",'Upis rezultata E sektora'!F7)</f>
      </c>
      <c r="C85" s="60">
        <f>IF(ISNUMBER('Upis rezultata E sektora'!C7)=FALSE,"",'Upis rezultata E sektora'!C7)</f>
      </c>
      <c r="D85" s="16">
        <f>IF(ISNONTEXT('Upis rezultata E sektora'!E7)=TRUE,"",'Upis rezultata E sektora'!E7)</f>
      </c>
      <c r="E85" s="16">
        <f>IF(ISNONTEXT('Upis rezultata E sektora'!D7)=TRUE,"",'Upis rezultata E sektora'!D7)</f>
      </c>
    </row>
    <row r="86" spans="1:5" ht="12.75" hidden="1">
      <c r="A86" s="56">
        <f>IF(ISNUMBER('Upis rezultata E sektora'!B6)=FALSE,"",'Upis rezultata E sektora'!B6)</f>
      </c>
      <c r="B86" s="57">
        <f>IF(ISNUMBER('Upis rezultata E sektora'!F6)=FALSE,"",'Upis rezultata E sektora'!F6)</f>
      </c>
      <c r="C86" s="60">
        <f>IF(ISNUMBER('Upis rezultata E sektora'!C6)=FALSE,"",'Upis rezultata E sektora'!C6)</f>
      </c>
      <c r="D86" s="16">
        <f>IF(ISNONTEXT('Upis rezultata E sektora'!E6)=TRUE,"",'Upis rezultata E sektora'!E6)</f>
      </c>
      <c r="E86" s="16">
        <f>IF(ISNONTEXT('Upis rezultata E sektora'!D6)=TRUE,"",'Upis rezultata E sektora'!D6)</f>
      </c>
    </row>
    <row r="87" spans="1:5" ht="12.75" hidden="1">
      <c r="A87" s="56">
        <f>IF(ISNUMBER('Upis rezultata E sektora'!B5)=FALSE,"",'Upis rezultata E sektora'!B5)</f>
      </c>
      <c r="B87" s="57">
        <f>IF(ISNUMBER('Upis rezultata E sektora'!F5)=FALSE,"",'Upis rezultata E sektora'!F5)</f>
      </c>
      <c r="C87" s="60">
        <f>IF(ISNUMBER('Upis rezultata E sektora'!C5)=FALSE,"",'Upis rezultata E sektora'!C5)</f>
      </c>
      <c r="D87" s="16">
        <f>IF(ISNONTEXT('Upis rezultata E sektora'!E5)=TRUE,"",'Upis rezultata E sektora'!E5)</f>
      </c>
      <c r="E87" s="16">
        <f>IF(ISNONTEXT('Upis rezultata E sektora'!D5)=TRUE,"",'Upis rezultata E sektora'!D5)</f>
      </c>
    </row>
    <row r="88" spans="1:5" ht="12.75" hidden="1">
      <c r="A88" s="56">
        <f>IF(ISNUMBER('Upis rezultata E sektora'!B4)=FALSE,"",'Upis rezultata E sektora'!B4)</f>
      </c>
      <c r="B88" s="57">
        <f>IF(ISNUMBER('Upis rezultata E sektora'!F4)=FALSE,"",'Upis rezultata E sektora'!F4)</f>
      </c>
      <c r="C88" s="60">
        <f>IF(ISNUMBER('Upis rezultata E sektora'!C4)=FALSE,"",'Upis rezultata E sektora'!C4)</f>
      </c>
      <c r="D88" s="16">
        <f>IF(ISNONTEXT('Upis rezultata E sektora'!E4)=TRUE,"",'Upis rezultata E sektora'!E4)</f>
      </c>
      <c r="E88" s="16">
        <f>IF(ISNONTEXT('Upis rezultata E sektora'!D4)=TRUE,"",'Upis rezultata E sektora'!D4)</f>
      </c>
    </row>
    <row r="89" spans="1:5" ht="12.75" hidden="1">
      <c r="A89" s="56">
        <f>IF(ISNUMBER('Upis rezultata E sektora'!B3)=FALSE,"",'Upis rezultata E sektora'!B3)</f>
      </c>
      <c r="B89" s="57">
        <f>IF(ISNUMBER('Upis rezultata E sektora'!F3)=FALSE,"",'Upis rezultata E sektora'!F3)</f>
      </c>
      <c r="C89" s="60">
        <f>IF(ISNUMBER('Upis rezultata E sektora'!C3)=FALSE,"",'Upis rezultata E sektora'!C3)</f>
      </c>
      <c r="D89" s="16">
        <f>IF(ISNONTEXT('Upis rezultata E sektora'!E3)=TRUE,"",'Upis rezultata E sektora'!E3)</f>
      </c>
      <c r="E89" s="16">
        <f>IF(ISNONTEXT('Upis rezultata E sektora'!D3)=TRUE,"",'Upis rezultata E sektora'!D3)</f>
      </c>
    </row>
    <row r="90" ht="12.75" hidden="1"/>
    <row r="95" ht="12.75"/>
    <row r="96" ht="12.75"/>
    <row r="97" ht="12.75"/>
  </sheetData>
  <sheetProtection/>
  <printOptions horizontalCentered="1"/>
  <pageMargins left="0.7480314960629921" right="0.7480314960629921" top="0.5905511811023623" bottom="0.984251968503937" header="0.3937007874015748" footer="0.5118110236220472"/>
  <pageSetup horizontalDpi="300" verticalDpi="300" orientation="portrait" paperSize="9" r:id="rId3"/>
  <headerFooter alignWithMargins="0">
    <oddHeader>&amp;C&amp;9&amp;Y&amp;A&amp;R&amp;9&amp;YStrana &amp;P</oddHeader>
    <oddFooter>&amp;C&amp;"Arial,Italic"&amp;9&amp;Y&amp;F by Mladen Čačić</oddFooter>
  </headerFooter>
  <legacyDrawing r:id="rId2"/>
</worksheet>
</file>

<file path=xl/worksheets/sheet18.xml><?xml version="1.0" encoding="utf-8"?>
<worksheet xmlns="http://schemas.openxmlformats.org/spreadsheetml/2006/main" xmlns:r="http://schemas.openxmlformats.org/officeDocument/2006/relationships">
  <sheetPr codeName="Sheet47">
    <tabColor indexed="13"/>
  </sheetPr>
  <dimension ref="A1:P60"/>
  <sheetViews>
    <sheetView showRowColHeaders="0" zoomScalePageLayoutView="0" workbookViewId="0" topLeftCell="A61">
      <selection activeCell="A1" sqref="A1:IV20"/>
    </sheetView>
  </sheetViews>
  <sheetFormatPr defaultColWidth="9.140625" defaultRowHeight="12.75"/>
  <cols>
    <col min="1" max="1" width="5.28125" style="47" customWidth="1"/>
    <col min="2" max="2" width="29.140625" style="0" customWidth="1"/>
    <col min="3" max="3" width="11.00390625" style="47" customWidth="1"/>
    <col min="4" max="4" width="11.28125" style="47" customWidth="1"/>
    <col min="5" max="5" width="12.8515625" style="47" customWidth="1"/>
    <col min="6" max="6" width="13.7109375" style="47" customWidth="1"/>
    <col min="7" max="9" width="13.7109375" style="47" hidden="1" customWidth="1"/>
    <col min="10" max="10" width="12.8515625" style="47" hidden="1" customWidth="1"/>
    <col min="11" max="11" width="15.7109375" style="47" hidden="1" customWidth="1"/>
    <col min="12" max="12" width="9.28125" style="47" hidden="1" customWidth="1"/>
    <col min="13" max="13" width="27.00390625" style="7" customWidth="1"/>
    <col min="14" max="16" width="9.140625" style="47" customWidth="1"/>
  </cols>
  <sheetData>
    <row r="1" spans="3:15" s="48" customFormat="1" ht="12.75" hidden="1">
      <c r="C1" s="78" t="s">
        <v>75</v>
      </c>
      <c r="M1" s="15"/>
      <c r="O1" s="47"/>
    </row>
    <row r="2" spans="1:16" s="50" customFormat="1" ht="12.75" hidden="1">
      <c r="A2" s="47"/>
      <c r="C2" s="77">
        <f>IF(ISNONTEXT('Organizacija natjecanja'!H2)=TRUE,"",'Organizacija natjecanja'!H2)</f>
      </c>
      <c r="E2" s="47"/>
      <c r="F2" s="47"/>
      <c r="G2" s="47"/>
      <c r="H2" s="47"/>
      <c r="I2" s="47"/>
      <c r="J2" s="47"/>
      <c r="K2" s="47"/>
      <c r="L2" s="47"/>
      <c r="M2" s="7"/>
      <c r="N2" s="47"/>
      <c r="O2" s="47"/>
      <c r="P2" s="47"/>
    </row>
    <row r="3" ht="12.75" hidden="1">
      <c r="E3" s="47">
        <f>IF(ISNONTEXT('Organizacija natjecanja'!H5)=TRUE,"",'Organizacija natjecanja'!H5)</f>
      </c>
    </row>
    <row r="4" ht="12.75" hidden="1">
      <c r="O4" s="48"/>
    </row>
    <row r="5" spans="1:11" ht="38.25" hidden="1">
      <c r="A5" s="51" t="s">
        <v>76</v>
      </c>
      <c r="B5" s="48" t="s">
        <v>77</v>
      </c>
      <c r="C5" s="51" t="s">
        <v>78</v>
      </c>
      <c r="D5" s="51" t="s">
        <v>79</v>
      </c>
      <c r="E5" s="51" t="s">
        <v>80</v>
      </c>
      <c r="F5" s="52" t="s">
        <v>81</v>
      </c>
      <c r="G5" s="133" t="s">
        <v>133</v>
      </c>
      <c r="H5" s="133" t="s">
        <v>147</v>
      </c>
      <c r="I5" s="133" t="s">
        <v>147</v>
      </c>
      <c r="J5" s="177" t="s">
        <v>132</v>
      </c>
      <c r="K5" s="177" t="s">
        <v>147</v>
      </c>
    </row>
    <row r="6" spans="1:16" s="49" customFormat="1" ht="12.75" hidden="1">
      <c r="A6" s="53">
        <v>1</v>
      </c>
      <c r="B6" s="49">
        <f>IF(ISBLANK('Prijava ekipa i izvlačenje br.'!C2)=TRUE,"",'Prijava ekipa i izvlačenje br.'!C2)</f>
      </c>
      <c r="C6" s="53">
        <f>IF(ISNUMBER('Upis rezultata A sektora'!B2)=FALSE,"",SUM('Upis rezultata A sektora'!B2,'Upis rezultata B sektora'!B2,'Upis rezultata C sektora'!B2,'Upis rezultata D sektora'!B2,'Upis rezultata E sektora'!B2))</f>
      </c>
      <c r="D6" s="53">
        <f>IF(ISNUMBER(C6)=FALSE,"",IF(((C6)/5)=(COUNTA(B$6:B$17)-COUNTIF(B$6:B$17,"")+1),"",SUM('Upis rezultata A sektora'!F2,'Upis rezultata B sektora'!F2,'Upis rezultata C sektora'!F2,'Upis rezultata D sektora'!F2,'Upis rezultata E sektora'!F2)))</f>
      </c>
      <c r="E6" s="53">
        <f>IF(ISNUMBER(C6)=FALSE,"",IF(((C6)/5)=(COUNTA(B$6:B$17)-COUNTIF(B$6:B$17,"")+1),"",MAX('Upis rezultata A sektora'!F2,'Upis rezultata B sektora'!F2,'Upis rezultata C sektora'!F2,'Upis rezultata D sektora'!F2,'Upis rezultata E sektora'!F2)))</f>
      </c>
      <c r="F6" s="54">
        <f aca="true" t="shared" si="0" ref="F6:F17">IF(ISNUMBER(C6)=FALSE,"",IF(((C6)/5)=(COUNTA(B$6:B$17)-COUNTIF(B$6:B$17,"")+1),(COUNTA(B$6:B$17)-COUNTIF(B$6:B$17,"")+1),J6))</f>
      </c>
      <c r="G6" s="70">
        <f>VLOOKUP(B6,'Upis rezultata A sektora'!$D$2:$G$13,4,FALSE)</f>
      </c>
      <c r="H6" s="70">
        <f>IF(ISNUMBER(C6)=FALSE,"",SUM('Upis rezultata A sektora'!F2,'Upis rezultata B sektora'!F2,'Upis rezultata C sektora'!F2,'Upis rezultata D sektora'!F2,'Upis rezultata E sektora'!F2))</f>
      </c>
      <c r="I6" s="70">
        <f>IF(ISNUMBER(C6)=FALSE,"",MAX('Upis rezultata A sektora'!F2,'Upis rezultata B sektora'!F2,'Upis rezultata C sektora'!F2,'Upis rezultata D sektora'!F2,'Upis rezultata E sektora'!F2))</f>
      </c>
      <c r="J6" s="70">
        <f aca="true" t="shared" si="1" ref="J6:J17">IF(ISNUMBER(C6)=FALSE,"",RANK(K6,$K$6:$K$17,1))</f>
      </c>
      <c r="K6" s="55">
        <f aca="true" t="shared" si="2" ref="K6:K17">IF(ISNUMBER(C6)=FALSE,"",C6-H6/100000-I6/1000000000)</f>
      </c>
      <c r="L6" s="53"/>
      <c r="N6" s="53"/>
      <c r="O6" s="53"/>
      <c r="P6" s="53"/>
    </row>
    <row r="7" spans="1:16" s="49" customFormat="1" ht="12.75" hidden="1">
      <c r="A7" s="53">
        <v>12</v>
      </c>
      <c r="B7" s="49">
        <f>IF(ISBLANK('Prijava ekipa i izvlačenje br.'!C13)=TRUE,"",'Prijava ekipa i izvlačenje br.'!C13)</f>
      </c>
      <c r="C7" s="53">
        <f>IF(ISNUMBER('Upis rezultata A sektora'!B13)=FALSE,"",SUM('Upis rezultata A sektora'!B13,'Upis rezultata B sektora'!B13,'Upis rezultata C sektora'!B13,'Upis rezultata D sektora'!B13,'Upis rezultata E sektora'!B13))</f>
      </c>
      <c r="D7" s="53">
        <f>IF(ISNUMBER(C7)=FALSE,"",IF(((C7)/5)=(COUNTA(B$6:B$17)-COUNTIF(B$6:B$17,"")+1),"",SUM('Upis rezultata A sektora'!F13,'Upis rezultata B sektora'!F13,'Upis rezultata C sektora'!F13,'Upis rezultata D sektora'!F13,'Upis rezultata E sektora'!F13)))</f>
      </c>
      <c r="E7" s="53">
        <f>IF(ISNUMBER(C7)=FALSE,"",IF(((C7)/5)=(COUNTA(B$6:B$17)-COUNTIF(B$6:B$17,"")+1),"",MAX('Upis rezultata A sektora'!F13,'Upis rezultata B sektora'!F13,'Upis rezultata C sektora'!F13,'Upis rezultata D sektora'!F13,'Upis rezultata E sektora'!F13)))</f>
      </c>
      <c r="F7" s="54">
        <f t="shared" si="0"/>
      </c>
      <c r="G7" s="70">
        <f>VLOOKUP(B7,'Upis rezultata A sektora'!$D$2:$G$13,4,FALSE)</f>
      </c>
      <c r="H7" s="70">
        <f>IF(ISNUMBER(C7)=FALSE,"",SUM('Upis rezultata A sektora'!F13,'Upis rezultata B sektora'!F13,'Upis rezultata C sektora'!F13,'Upis rezultata D sektora'!F13,'Upis rezultata E sektora'!F13))</f>
      </c>
      <c r="I7" s="70">
        <f>IF(ISNUMBER(C7)=FALSE,"",MAX('Upis rezultata A sektora'!F13,'Upis rezultata B sektora'!F13,'Upis rezultata C sektora'!F13,'Upis rezultata D sektora'!F13,'Upis rezultata E sektora'!F13))</f>
      </c>
      <c r="J7" s="70">
        <f t="shared" si="1"/>
      </c>
      <c r="K7" s="55">
        <f t="shared" si="2"/>
      </c>
      <c r="L7" s="53"/>
      <c r="N7" s="53"/>
      <c r="O7" s="53"/>
      <c r="P7" s="53"/>
    </row>
    <row r="8" spans="1:16" s="49" customFormat="1" ht="12.75" hidden="1">
      <c r="A8" s="53">
        <v>11</v>
      </c>
      <c r="B8" s="49">
        <f>IF(ISBLANK('Prijava ekipa i izvlačenje br.'!C12)=TRUE,"",'Prijava ekipa i izvlačenje br.'!C12)</f>
      </c>
      <c r="C8" s="53">
        <f>IF(ISNUMBER('Upis rezultata A sektora'!B12)=FALSE,"",SUM('Upis rezultata A sektora'!B12,'Upis rezultata B sektora'!B12,'Upis rezultata C sektora'!B12,'Upis rezultata D sektora'!B12,'Upis rezultata E sektora'!B12))</f>
      </c>
      <c r="D8" s="53">
        <f>IF(ISNUMBER(C8)=FALSE,"",IF(((C8)/5)=(COUNTA(B$6:B$17)-COUNTIF(B$6:B$17,"")+1),"",SUM('Upis rezultata A sektora'!F12,'Upis rezultata B sektora'!F12,'Upis rezultata C sektora'!F12,'Upis rezultata D sektora'!F12,'Upis rezultata E sektora'!F12)))</f>
      </c>
      <c r="E8" s="53">
        <f>IF(ISNUMBER(C8)=FALSE,"",IF(((C8)/5)=(COUNTA(B$6:B$17)-COUNTIF(B$6:B$17,"")+1),"",MAX('Upis rezultata A sektora'!F12,'Upis rezultata B sektora'!F12,'Upis rezultata C sektora'!F12,'Upis rezultata D sektora'!F12,'Upis rezultata E sektora'!F12)))</f>
      </c>
      <c r="F8" s="54">
        <f t="shared" si="0"/>
      </c>
      <c r="G8" s="70">
        <f>VLOOKUP(B8,'Upis rezultata A sektora'!$D$2:$G$13,4,FALSE)</f>
      </c>
      <c r="H8" s="70">
        <f>IF(ISNUMBER(C8)=FALSE,"",SUM('Upis rezultata A sektora'!F12,'Upis rezultata B sektora'!F12,'Upis rezultata C sektora'!F12,'Upis rezultata D sektora'!F12,'Upis rezultata E sektora'!F12))</f>
      </c>
      <c r="I8" s="70">
        <f>IF(ISNUMBER(C8)=FALSE,"",MAX('Upis rezultata A sektora'!F12,'Upis rezultata B sektora'!F12,'Upis rezultata C sektora'!F12,'Upis rezultata D sektora'!F12,'Upis rezultata E sektora'!F12))</f>
      </c>
      <c r="J8" s="70">
        <f t="shared" si="1"/>
      </c>
      <c r="K8" s="55">
        <f t="shared" si="2"/>
      </c>
      <c r="L8" s="53"/>
      <c r="N8" s="53"/>
      <c r="O8" s="53"/>
      <c r="P8" s="53"/>
    </row>
    <row r="9" spans="1:16" s="49" customFormat="1" ht="12.75" hidden="1">
      <c r="A9" s="53">
        <v>3</v>
      </c>
      <c r="B9" s="49">
        <f>IF(ISBLANK('Prijava ekipa i izvlačenje br.'!C4)=TRUE,"",'Prijava ekipa i izvlačenje br.'!C4)</f>
      </c>
      <c r="C9" s="53">
        <f>IF(ISNUMBER('Upis rezultata A sektora'!B4)=FALSE,"",SUM('Upis rezultata A sektora'!B4,'Upis rezultata B sektora'!B4,'Upis rezultata C sektora'!B4,'Upis rezultata D sektora'!B4,'Upis rezultata E sektora'!B4))</f>
      </c>
      <c r="D9" s="53">
        <f>IF(ISNUMBER(C9)=FALSE,"",IF(((C9)/5)=(COUNTA(B$6:B$17)-COUNTIF(B$6:B$17,"")+1),"",SUM('Upis rezultata A sektora'!F4,'Upis rezultata B sektora'!F4,'Upis rezultata C sektora'!F4,'Upis rezultata D sektora'!F4,'Upis rezultata E sektora'!F4)))</f>
      </c>
      <c r="E9" s="53">
        <f>IF(ISNUMBER(C9)=FALSE,"",IF(((C9)/5)=(COUNTA(B$6:B$17)-COUNTIF(B$6:B$17,"")+1),"",MAX('Upis rezultata A sektora'!F4,'Upis rezultata B sektora'!F4,'Upis rezultata C sektora'!F4,'Upis rezultata D sektora'!F4,'Upis rezultata E sektora'!F4)))</f>
      </c>
      <c r="F9" s="54">
        <f t="shared" si="0"/>
      </c>
      <c r="G9" s="70">
        <f>VLOOKUP(B9,'Upis rezultata A sektora'!$D$2:$G$13,4,FALSE)</f>
      </c>
      <c r="H9" s="70">
        <f>IF(ISNUMBER(C9)=FALSE,"",SUM('Upis rezultata A sektora'!F4,'Upis rezultata B sektora'!F4,'Upis rezultata C sektora'!F4,'Upis rezultata D sektora'!F4,'Upis rezultata E sektora'!F4))</f>
      </c>
      <c r="I9" s="70">
        <f>IF(ISNUMBER(C9)=FALSE,"",MAX('Upis rezultata A sektora'!F4,'Upis rezultata B sektora'!F4,'Upis rezultata C sektora'!F4,'Upis rezultata D sektora'!F4,'Upis rezultata E sektora'!F4))</f>
      </c>
      <c r="J9" s="70">
        <f t="shared" si="1"/>
      </c>
      <c r="K9" s="55">
        <f t="shared" si="2"/>
      </c>
      <c r="L9" s="53"/>
      <c r="N9" s="53"/>
      <c r="O9" s="53"/>
      <c r="P9" s="53"/>
    </row>
    <row r="10" spans="1:16" s="49" customFormat="1" ht="12.75" hidden="1">
      <c r="A10" s="53">
        <v>10</v>
      </c>
      <c r="B10" s="49">
        <f>IF(ISBLANK('Prijava ekipa i izvlačenje br.'!C11)=TRUE,"",'Prijava ekipa i izvlačenje br.'!C11)</f>
      </c>
      <c r="C10" s="53">
        <f>IF(ISNUMBER('Upis rezultata A sektora'!B11)=FALSE,"",SUM('Upis rezultata A sektora'!B11,'Upis rezultata B sektora'!B11,'Upis rezultata C sektora'!B11,'Upis rezultata D sektora'!B11,'Upis rezultata E sektora'!B11))</f>
      </c>
      <c r="D10" s="53">
        <f>IF(ISNUMBER(C10)=FALSE,"",IF(((C10)/5)=(COUNTA(B$6:B$17)-COUNTIF(B$6:B$17,"")+1),"",SUM('Upis rezultata A sektora'!F11,'Upis rezultata B sektora'!F11,'Upis rezultata C sektora'!F11,'Upis rezultata D sektora'!F11,'Upis rezultata E sektora'!F11)))</f>
      </c>
      <c r="E10" s="53">
        <f>IF(ISNUMBER(C10)=FALSE,"",IF(((C10)/5)=(COUNTA(B$6:B$17)-COUNTIF(B$6:B$17,"")+1),"",MAX('Upis rezultata A sektora'!F11,'Upis rezultata B sektora'!F11,'Upis rezultata C sektora'!F11,'Upis rezultata D sektora'!F11,'Upis rezultata E sektora'!F11)))</f>
      </c>
      <c r="F10" s="54">
        <f t="shared" si="0"/>
      </c>
      <c r="G10" s="70">
        <f>VLOOKUP(B10,'Upis rezultata A sektora'!$D$2:$G$13,4,FALSE)</f>
      </c>
      <c r="H10" s="70">
        <f>IF(ISNUMBER(C10)=FALSE,"",SUM('Upis rezultata A sektora'!F11,'Upis rezultata B sektora'!F11,'Upis rezultata C sektora'!F11,'Upis rezultata D sektora'!F11,'Upis rezultata E sektora'!F11))</f>
      </c>
      <c r="I10" s="70">
        <f>IF(ISNUMBER(C10)=FALSE,"",MAX('Upis rezultata A sektora'!F11,'Upis rezultata B sektora'!F11,'Upis rezultata C sektora'!F11,'Upis rezultata D sektora'!F11,'Upis rezultata E sektora'!F11))</f>
      </c>
      <c r="J10" s="70">
        <f t="shared" si="1"/>
      </c>
      <c r="K10" s="55">
        <f t="shared" si="2"/>
      </c>
      <c r="L10" s="53"/>
      <c r="N10" s="53"/>
      <c r="O10" s="53"/>
      <c r="P10" s="53"/>
    </row>
    <row r="11" spans="1:16" s="49" customFormat="1" ht="12.75" hidden="1">
      <c r="A11" s="53">
        <v>2</v>
      </c>
      <c r="B11" s="49">
        <f>IF(ISBLANK('Prijava ekipa i izvlačenje br.'!C3)=TRUE,"",'Prijava ekipa i izvlačenje br.'!C3)</f>
      </c>
      <c r="C11" s="53">
        <f>IF(ISNUMBER('Upis rezultata A sektora'!B3)=FALSE,"",SUM('Upis rezultata A sektora'!B3,'Upis rezultata B sektora'!B3,'Upis rezultata C sektora'!B3,'Upis rezultata D sektora'!B3,'Upis rezultata E sektora'!B3))</f>
      </c>
      <c r="D11" s="53">
        <f>IF(ISNUMBER(C11)=FALSE,"",IF(((C11)/5)=(COUNTA(B$6:B$17)-COUNTIF(B$6:B$17,"")+1),"",SUM('Upis rezultata A sektora'!F3,'Upis rezultata B sektora'!F3,'Upis rezultata C sektora'!F3,'Upis rezultata D sektora'!F3,'Upis rezultata E sektora'!F3)))</f>
      </c>
      <c r="E11" s="53">
        <f>IF(ISNUMBER(C11)=FALSE,"",IF(((C11)/5)=(COUNTA(B$6:B$17)-COUNTIF(B$6:B$17,"")+1),"",MAX('Upis rezultata A sektora'!F3,'Upis rezultata B sektora'!F3,'Upis rezultata C sektora'!F3,'Upis rezultata D sektora'!F3,'Upis rezultata E sektora'!F3)))</f>
      </c>
      <c r="F11" s="54">
        <f t="shared" si="0"/>
      </c>
      <c r="G11" s="70">
        <f>VLOOKUP(B11,'Upis rezultata A sektora'!$D$2:$G$13,4,FALSE)</f>
      </c>
      <c r="H11" s="70">
        <f>IF(ISNUMBER(C11)=FALSE,"",SUM('Upis rezultata A sektora'!F3,'Upis rezultata B sektora'!F3,'Upis rezultata C sektora'!F3,'Upis rezultata D sektora'!F3,'Upis rezultata E sektora'!F3))</f>
      </c>
      <c r="I11" s="70">
        <f>IF(ISNUMBER(C11)=FALSE,"",MAX('Upis rezultata A sektora'!F3,'Upis rezultata B sektora'!F3,'Upis rezultata C sektora'!F3,'Upis rezultata D sektora'!F3,'Upis rezultata E sektora'!F3))</f>
      </c>
      <c r="J11" s="70">
        <f t="shared" si="1"/>
      </c>
      <c r="K11" s="55">
        <f t="shared" si="2"/>
      </c>
      <c r="L11" s="53"/>
      <c r="N11" s="53"/>
      <c r="O11" s="53"/>
      <c r="P11" s="53"/>
    </row>
    <row r="12" spans="1:16" s="49" customFormat="1" ht="12.75" hidden="1">
      <c r="A12" s="53">
        <v>6</v>
      </c>
      <c r="B12" s="49">
        <f>IF(ISBLANK('Prijava ekipa i izvlačenje br.'!C7)=TRUE,"",'Prijava ekipa i izvlačenje br.'!C7)</f>
      </c>
      <c r="C12" s="53">
        <f>IF(ISNUMBER('Upis rezultata A sektora'!B7)=FALSE,"",SUM('Upis rezultata A sektora'!B7,'Upis rezultata B sektora'!B7,'Upis rezultata C sektora'!B7,'Upis rezultata D sektora'!B7,'Upis rezultata E sektora'!B7))</f>
      </c>
      <c r="D12" s="53">
        <f>IF(ISNUMBER(C12)=FALSE,"",IF(((C12)/5)=(COUNTA(B$6:B$17)-COUNTIF(B$6:B$17,"")+1),"",SUM('Upis rezultata A sektora'!F7,'Upis rezultata B sektora'!F7,'Upis rezultata C sektora'!F7,'Upis rezultata D sektora'!F7,'Upis rezultata E sektora'!F7)))</f>
      </c>
      <c r="E12" s="53">
        <f>IF(ISNUMBER(C12)=FALSE,"",IF(((C12)/5)=(COUNTA(B$6:B$17)-COUNTIF(B$6:B$17,"")+1),"",MAX('Upis rezultata A sektora'!F7,'Upis rezultata B sektora'!F7,'Upis rezultata C sektora'!F7,'Upis rezultata D sektora'!F7,'Upis rezultata E sektora'!F7)))</f>
      </c>
      <c r="F12" s="54">
        <f t="shared" si="0"/>
      </c>
      <c r="G12" s="70">
        <f>VLOOKUP(B12,'Upis rezultata A sektora'!$D$2:$G$13,4,FALSE)</f>
      </c>
      <c r="H12" s="70">
        <f>IF(ISNUMBER(C12)=FALSE,"",SUM('Upis rezultata A sektora'!F7,'Upis rezultata B sektora'!F7,'Upis rezultata C sektora'!F7,'Upis rezultata D sektora'!F7,'Upis rezultata E sektora'!F7))</f>
      </c>
      <c r="I12" s="70">
        <f>IF(ISNUMBER(C12)=FALSE,"",MAX('Upis rezultata A sektora'!F7,'Upis rezultata B sektora'!F7,'Upis rezultata C sektora'!F7,'Upis rezultata D sektora'!F7,'Upis rezultata E sektora'!F7))</f>
      </c>
      <c r="J12" s="70">
        <f t="shared" si="1"/>
      </c>
      <c r="K12" s="55">
        <f t="shared" si="2"/>
      </c>
      <c r="L12" s="53"/>
      <c r="N12" s="53"/>
      <c r="O12" s="53"/>
      <c r="P12" s="53"/>
    </row>
    <row r="13" spans="1:16" s="49" customFormat="1" ht="12.75" hidden="1">
      <c r="A13" s="53">
        <v>7</v>
      </c>
      <c r="B13" s="49">
        <f>IF(ISBLANK('Prijava ekipa i izvlačenje br.'!C8)=TRUE,"",'Prijava ekipa i izvlačenje br.'!C8)</f>
      </c>
      <c r="C13" s="53">
        <f>IF(ISNUMBER('Upis rezultata A sektora'!B8)=FALSE,"",SUM('Upis rezultata A sektora'!B8,'Upis rezultata B sektora'!B8,'Upis rezultata C sektora'!B8,'Upis rezultata D sektora'!B8,'Upis rezultata E sektora'!B8))</f>
      </c>
      <c r="D13" s="53">
        <f>IF(ISNUMBER(C13)=FALSE,"",IF(((C13)/5)=(COUNTA(B$6:B$17)-COUNTIF(B$6:B$17,"")+1),"",SUM('Upis rezultata A sektora'!F8,'Upis rezultata B sektora'!F8,'Upis rezultata C sektora'!F8,'Upis rezultata D sektora'!F8,'Upis rezultata E sektora'!F8)))</f>
      </c>
      <c r="E13" s="53">
        <f>IF(ISNUMBER(C13)=FALSE,"",IF(((C13)/5)=(COUNTA(B$6:B$17)-COUNTIF(B$6:B$17,"")+1),"",MAX('Upis rezultata A sektora'!F8,'Upis rezultata B sektora'!F8,'Upis rezultata C sektora'!F8,'Upis rezultata D sektora'!F8,'Upis rezultata E sektora'!F8)))</f>
      </c>
      <c r="F13" s="54">
        <f t="shared" si="0"/>
      </c>
      <c r="G13" s="70">
        <f>VLOOKUP(B13,'Upis rezultata A sektora'!$D$2:$G$13,4,FALSE)</f>
      </c>
      <c r="H13" s="70">
        <f>IF(ISNUMBER(C13)=FALSE,"",SUM('Upis rezultata A sektora'!F8,'Upis rezultata B sektora'!F8,'Upis rezultata C sektora'!F8,'Upis rezultata D sektora'!F8,'Upis rezultata E sektora'!F8))</f>
      </c>
      <c r="I13" s="70">
        <f>IF(ISNUMBER(C13)=FALSE,"",MAX('Upis rezultata A sektora'!F8,'Upis rezultata B sektora'!F8,'Upis rezultata C sektora'!F8,'Upis rezultata D sektora'!F8,'Upis rezultata E sektora'!F8))</f>
      </c>
      <c r="J13" s="70">
        <f t="shared" si="1"/>
      </c>
      <c r="K13" s="55">
        <f t="shared" si="2"/>
      </c>
      <c r="L13" s="53"/>
      <c r="N13" s="53"/>
      <c r="O13" s="53"/>
      <c r="P13" s="53"/>
    </row>
    <row r="14" spans="1:16" s="49" customFormat="1" ht="12.75" hidden="1">
      <c r="A14" s="53">
        <v>9</v>
      </c>
      <c r="B14" s="49">
        <f>IF(ISBLANK('Prijava ekipa i izvlačenje br.'!C10)=TRUE,"",'Prijava ekipa i izvlačenje br.'!C10)</f>
      </c>
      <c r="C14" s="53">
        <f>IF(ISNUMBER('Upis rezultata A sektora'!B10)=FALSE,"",SUM('Upis rezultata A sektora'!B10,'Upis rezultata B sektora'!B10,'Upis rezultata C sektora'!B10,'Upis rezultata D sektora'!B10,'Upis rezultata E sektora'!B10))</f>
      </c>
      <c r="D14" s="53">
        <f>IF(ISNUMBER(C14)=FALSE,"",IF(((C14)/5)=(COUNTA(B$6:B$17)-COUNTIF(B$6:B$17,"")+1),"",SUM('Upis rezultata A sektora'!F10,'Upis rezultata B sektora'!F10,'Upis rezultata C sektora'!F10,'Upis rezultata D sektora'!F10,'Upis rezultata E sektora'!F10)))</f>
      </c>
      <c r="E14" s="53">
        <f>IF(ISNUMBER(C14)=FALSE,"",IF(((C14)/5)=(COUNTA(B$6:B$17)-COUNTIF(B$6:B$17,"")+1),"",MAX('Upis rezultata A sektora'!F10,'Upis rezultata B sektora'!F10,'Upis rezultata C sektora'!F10,'Upis rezultata D sektora'!F10,'Upis rezultata E sektora'!F10)))</f>
      </c>
      <c r="F14" s="54">
        <f t="shared" si="0"/>
      </c>
      <c r="G14" s="70">
        <f>VLOOKUP(B14,'Upis rezultata A sektora'!$D$2:$G$13,4,FALSE)</f>
      </c>
      <c r="H14" s="70">
        <f>IF(ISNUMBER(C14)=FALSE,"",SUM('Upis rezultata A sektora'!F10,'Upis rezultata B sektora'!F10,'Upis rezultata C sektora'!F10,'Upis rezultata D sektora'!F10,'Upis rezultata E sektora'!F10))</f>
      </c>
      <c r="I14" s="70">
        <f>IF(ISNUMBER(C14)=FALSE,"",MAX('Upis rezultata A sektora'!F10,'Upis rezultata B sektora'!F10,'Upis rezultata C sektora'!F10,'Upis rezultata D sektora'!F10,'Upis rezultata E sektora'!F10))</f>
      </c>
      <c r="J14" s="70">
        <f t="shared" si="1"/>
      </c>
      <c r="K14" s="55">
        <f t="shared" si="2"/>
      </c>
      <c r="L14" s="53"/>
      <c r="N14" s="53"/>
      <c r="O14" s="53"/>
      <c r="P14" s="53"/>
    </row>
    <row r="15" spans="1:16" s="49" customFormat="1" ht="12.75" hidden="1">
      <c r="A15" s="53">
        <v>8</v>
      </c>
      <c r="B15" s="49">
        <f>IF(ISBLANK('Prijava ekipa i izvlačenje br.'!C9)=TRUE,"",'Prijava ekipa i izvlačenje br.'!C9)</f>
      </c>
      <c r="C15" s="53">
        <f>IF(ISNUMBER('Upis rezultata A sektora'!B9)=FALSE,"",SUM('Upis rezultata A sektora'!B9,'Upis rezultata B sektora'!B9,'Upis rezultata C sektora'!B9,'Upis rezultata D sektora'!B9,'Upis rezultata E sektora'!B9))</f>
      </c>
      <c r="D15" s="53">
        <f>IF(ISNUMBER(C15)=FALSE,"",IF(((C15)/5)=(COUNTA(B$6:B$17)-COUNTIF(B$6:B$17,"")+1),"",SUM('Upis rezultata A sektora'!F9,'Upis rezultata B sektora'!F9,'Upis rezultata C sektora'!F9,'Upis rezultata D sektora'!F9,'Upis rezultata E sektora'!F9)))</f>
      </c>
      <c r="E15" s="53">
        <f>IF(ISNUMBER(C15)=FALSE,"",IF(((C15)/5)=(COUNTA(B$6:B$17)-COUNTIF(B$6:B$17,"")+1),"",MAX('Upis rezultata A sektora'!F9,'Upis rezultata B sektora'!F9,'Upis rezultata C sektora'!F9,'Upis rezultata D sektora'!F9,'Upis rezultata E sektora'!F9)))</f>
      </c>
      <c r="F15" s="54">
        <f t="shared" si="0"/>
      </c>
      <c r="G15" s="70">
        <f>VLOOKUP(B15,'Upis rezultata A sektora'!$D$2:$G$13,4,FALSE)</f>
      </c>
      <c r="H15" s="70">
        <f>IF(ISNUMBER(C15)=FALSE,"",SUM('Upis rezultata A sektora'!F9,'Upis rezultata B sektora'!F9,'Upis rezultata C sektora'!F9,'Upis rezultata D sektora'!F9,'Upis rezultata E sektora'!F9))</f>
      </c>
      <c r="I15" s="70">
        <f>IF(ISNUMBER(C15)=FALSE,"",MAX('Upis rezultata A sektora'!F9,'Upis rezultata B sektora'!F9,'Upis rezultata C sektora'!F9,'Upis rezultata D sektora'!F9,'Upis rezultata E sektora'!F9))</f>
      </c>
      <c r="J15" s="70">
        <f t="shared" si="1"/>
      </c>
      <c r="K15" s="55">
        <f t="shared" si="2"/>
      </c>
      <c r="L15" s="53"/>
      <c r="N15" s="53"/>
      <c r="O15" s="53"/>
      <c r="P15" s="53"/>
    </row>
    <row r="16" spans="1:16" s="49" customFormat="1" ht="12.75" hidden="1">
      <c r="A16" s="53">
        <v>5</v>
      </c>
      <c r="B16" s="49">
        <f>IF(ISBLANK('Prijava ekipa i izvlačenje br.'!C6)=TRUE,"",'Prijava ekipa i izvlačenje br.'!C6)</f>
      </c>
      <c r="C16" s="53">
        <f>IF(ISNUMBER('Upis rezultata A sektora'!B6)=FALSE,"",SUM('Upis rezultata A sektora'!B6,'Upis rezultata B sektora'!B6,'Upis rezultata C sektora'!B6,'Upis rezultata D sektora'!B6,'Upis rezultata E sektora'!B6))</f>
      </c>
      <c r="D16" s="53">
        <f>IF(ISNUMBER(C16)=FALSE,"",IF(((C16)/5)=(COUNTA(B$6:B$17)-COUNTIF(B$6:B$17,"")+1),"",SUM('Upis rezultata A sektora'!F6,'Upis rezultata B sektora'!F6,'Upis rezultata C sektora'!F6,'Upis rezultata D sektora'!F6,'Upis rezultata E sektora'!F6)))</f>
      </c>
      <c r="E16" s="53">
        <f>IF(ISNUMBER(C16)=FALSE,"",IF(((C16)/5)=(COUNTA(B$6:B$17)-COUNTIF(B$6:B$17,"")+1),"",MAX('Upis rezultata A sektora'!F6,'Upis rezultata B sektora'!F6,'Upis rezultata C sektora'!F6,'Upis rezultata D sektora'!F6,'Upis rezultata E sektora'!F6)))</f>
      </c>
      <c r="F16" s="54">
        <f t="shared" si="0"/>
      </c>
      <c r="G16" s="70">
        <f>VLOOKUP(B16,'Upis rezultata A sektora'!$D$2:$G$13,4,FALSE)</f>
      </c>
      <c r="H16" s="70">
        <f>IF(ISNUMBER(C16)=FALSE,"",SUM('Upis rezultata A sektora'!F6,'Upis rezultata B sektora'!F6,'Upis rezultata C sektora'!F6,'Upis rezultata D sektora'!F6,'Upis rezultata E sektora'!F6))</f>
      </c>
      <c r="I16" s="70">
        <f>IF(ISNUMBER(C16)=FALSE,"",MAX('Upis rezultata A sektora'!F6,'Upis rezultata B sektora'!F6,'Upis rezultata C sektora'!F6,'Upis rezultata D sektora'!F6,'Upis rezultata E sektora'!F6))</f>
      </c>
      <c r="J16" s="70">
        <f t="shared" si="1"/>
      </c>
      <c r="K16" s="55">
        <f t="shared" si="2"/>
      </c>
      <c r="L16" s="53"/>
      <c r="N16" s="53"/>
      <c r="O16" s="53"/>
      <c r="P16" s="53"/>
    </row>
    <row r="17" spans="1:16" s="49" customFormat="1" ht="12.75" hidden="1">
      <c r="A17" s="53">
        <v>4</v>
      </c>
      <c r="B17" s="49">
        <f>IF(ISBLANK('Prijava ekipa i izvlačenje br.'!C5)=TRUE,"",'Prijava ekipa i izvlačenje br.'!C5)</f>
      </c>
      <c r="C17" s="53">
        <f>IF(ISNUMBER('Upis rezultata A sektora'!B5)=FALSE,"",SUM('Upis rezultata A sektora'!B5,'Upis rezultata B sektora'!B5,'Upis rezultata C sektora'!B5,'Upis rezultata D sektora'!B5,'Upis rezultata E sektora'!B5))</f>
      </c>
      <c r="D17" s="53">
        <f>IF(ISNUMBER(C17)=FALSE,"",IF(((C17)/5)=(COUNTA(B$6:B$17)-COUNTIF(B$6:B$17,"")+1),"",SUM('Upis rezultata A sektora'!F5,'Upis rezultata B sektora'!F5,'Upis rezultata C sektora'!F5,'Upis rezultata D sektora'!F5,'Upis rezultata E sektora'!F5)))</f>
      </c>
      <c r="E17" s="53">
        <f>IF(ISNUMBER(C17)=FALSE,"",IF(((C17)/5)=(COUNTA(B$6:B$17)-COUNTIF(B$6:B$17,"")+1),"",MAX('Upis rezultata A sektora'!F5,'Upis rezultata B sektora'!F5,'Upis rezultata C sektora'!F5,'Upis rezultata D sektora'!F5,'Upis rezultata E sektora'!F5)))</f>
      </c>
      <c r="F17" s="54">
        <f t="shared" si="0"/>
      </c>
      <c r="G17" s="70">
        <f>VLOOKUP(B17,'Upis rezultata A sektora'!$D$2:$G$13,4,FALSE)</f>
      </c>
      <c r="H17" s="70">
        <f>IF(ISNUMBER(C17)=FALSE,"",SUM('Upis rezultata A sektora'!F5,'Upis rezultata B sektora'!F5,'Upis rezultata C sektora'!F5,'Upis rezultata D sektora'!F5,'Upis rezultata E sektora'!F5))</f>
      </c>
      <c r="I17" s="70">
        <f>IF(ISNUMBER(C17)=FALSE,"",MAX('Upis rezultata A sektora'!F5,'Upis rezultata B sektora'!F5,'Upis rezultata C sektora'!F5,'Upis rezultata D sektora'!F5,'Upis rezultata E sektora'!F5))</f>
      </c>
      <c r="J17" s="70">
        <f t="shared" si="1"/>
      </c>
      <c r="K17" s="55">
        <f t="shared" si="2"/>
      </c>
      <c r="L17" s="53"/>
      <c r="N17" s="53"/>
      <c r="O17" s="53"/>
      <c r="P17" s="53"/>
    </row>
    <row r="18" spans="1:16" s="49" customFormat="1" ht="12.75" hidden="1">
      <c r="A18" s="53"/>
      <c r="C18" s="53"/>
      <c r="D18" s="53"/>
      <c r="E18" s="53"/>
      <c r="F18" s="53"/>
      <c r="G18" s="53"/>
      <c r="H18" s="53"/>
      <c r="I18" s="53"/>
      <c r="J18" s="53"/>
      <c r="K18" s="53"/>
      <c r="L18" s="53"/>
      <c r="M18" s="55"/>
      <c r="N18" s="53"/>
      <c r="O18" s="53"/>
      <c r="P18" s="53"/>
    </row>
    <row r="19" spans="1:16" s="49" customFormat="1" ht="12.75" hidden="1">
      <c r="A19" s="53"/>
      <c r="C19" s="53"/>
      <c r="D19" s="53"/>
      <c r="E19" s="53"/>
      <c r="F19" s="53"/>
      <c r="G19" s="53"/>
      <c r="H19" s="53"/>
      <c r="I19" s="53"/>
      <c r="J19" s="53"/>
      <c r="K19" s="53"/>
      <c r="L19" s="53"/>
      <c r="M19" s="55"/>
      <c r="N19" s="53"/>
      <c r="O19" s="53"/>
      <c r="P19" s="53"/>
    </row>
    <row r="20" spans="1:16" s="49" customFormat="1" ht="12.75" hidden="1">
      <c r="A20" s="53"/>
      <c r="C20" s="53"/>
      <c r="D20" s="53"/>
      <c r="E20" s="53"/>
      <c r="F20" s="53"/>
      <c r="G20" s="53"/>
      <c r="H20" s="53"/>
      <c r="I20" s="53"/>
      <c r="J20" s="53"/>
      <c r="K20" s="53"/>
      <c r="L20" s="53"/>
      <c r="M20" s="55"/>
      <c r="N20" s="53"/>
      <c r="O20" s="53"/>
      <c r="P20" s="53"/>
    </row>
    <row r="21" spans="1:16" s="49" customFormat="1" ht="12.75" hidden="1">
      <c r="A21" s="53"/>
      <c r="C21" s="53"/>
      <c r="D21" s="53"/>
      <c r="E21" s="53"/>
      <c r="F21" s="53"/>
      <c r="G21" s="53"/>
      <c r="H21" s="53"/>
      <c r="I21" s="53"/>
      <c r="J21" s="53"/>
      <c r="K21" s="53"/>
      <c r="L21" s="53"/>
      <c r="M21" s="55"/>
      <c r="N21" s="53"/>
      <c r="O21" s="53"/>
      <c r="P21" s="53"/>
    </row>
    <row r="22" spans="1:16" s="49" customFormat="1" ht="12.75" hidden="1">
      <c r="A22" s="53"/>
      <c r="C22" s="53"/>
      <c r="D22" s="53"/>
      <c r="E22" s="53"/>
      <c r="F22" s="53"/>
      <c r="G22" s="53"/>
      <c r="H22" s="53"/>
      <c r="I22" s="53"/>
      <c r="J22" s="53"/>
      <c r="K22" s="53"/>
      <c r="L22" s="53"/>
      <c r="M22" s="55"/>
      <c r="N22" s="53"/>
      <c r="O22" s="53"/>
      <c r="P22" s="53"/>
    </row>
    <row r="23" spans="1:16" s="49" customFormat="1" ht="12.75" hidden="1">
      <c r="A23" s="53"/>
      <c r="C23" s="53"/>
      <c r="D23" s="53"/>
      <c r="E23" s="53"/>
      <c r="F23" s="53"/>
      <c r="G23" s="53"/>
      <c r="H23" s="53"/>
      <c r="I23" s="53"/>
      <c r="J23" s="53"/>
      <c r="K23" s="53"/>
      <c r="L23" s="53"/>
      <c r="M23" s="55"/>
      <c r="N23" s="53"/>
      <c r="O23" s="53"/>
      <c r="P23" s="53"/>
    </row>
    <row r="24" spans="1:10" s="49" customFormat="1" ht="12.75" hidden="1">
      <c r="A24" s="53"/>
      <c r="C24" s="53"/>
      <c r="D24" s="55"/>
      <c r="E24" s="53"/>
      <c r="F24" s="53"/>
      <c r="G24" s="53"/>
      <c r="H24" s="53"/>
      <c r="I24" s="53"/>
      <c r="J24" s="53"/>
    </row>
    <row r="25" spans="1:10" s="49" customFormat="1" ht="12.75" hidden="1">
      <c r="A25" s="53"/>
      <c r="C25" s="53"/>
      <c r="D25" s="55"/>
      <c r="E25" s="53"/>
      <c r="F25" s="53"/>
      <c r="G25" s="53"/>
      <c r="H25" s="53"/>
      <c r="I25" s="53"/>
      <c r="J25" s="53"/>
    </row>
    <row r="26" spans="1:10" s="49" customFormat="1" ht="12.75" hidden="1">
      <c r="A26" s="53"/>
      <c r="C26" s="53"/>
      <c r="D26" s="55"/>
      <c r="E26" s="53"/>
      <c r="F26" s="53"/>
      <c r="G26" s="53"/>
      <c r="H26" s="53"/>
      <c r="I26" s="53"/>
      <c r="J26" s="53"/>
    </row>
    <row r="27" spans="1:10" s="49" customFormat="1" ht="12.75" hidden="1">
      <c r="A27" s="53"/>
      <c r="C27" s="53"/>
      <c r="D27" s="55"/>
      <c r="E27" s="53"/>
      <c r="F27" s="53"/>
      <c r="G27" s="53"/>
      <c r="H27" s="53"/>
      <c r="I27" s="53"/>
      <c r="J27" s="53"/>
    </row>
    <row r="28" spans="1:10" s="49" customFormat="1" ht="12.75" hidden="1">
      <c r="A28" s="53"/>
      <c r="C28" s="53"/>
      <c r="D28" s="55"/>
      <c r="E28" s="53"/>
      <c r="F28" s="53"/>
      <c r="G28" s="53"/>
      <c r="H28" s="53"/>
      <c r="I28" s="53"/>
      <c r="J28" s="53"/>
    </row>
    <row r="29" spans="1:10" s="49" customFormat="1" ht="12.75" hidden="1">
      <c r="A29" s="53"/>
      <c r="C29" s="53"/>
      <c r="D29" s="55"/>
      <c r="E29" s="53"/>
      <c r="F29" s="53"/>
      <c r="G29" s="53"/>
      <c r="H29" s="53"/>
      <c r="I29" s="53"/>
      <c r="J29" s="53"/>
    </row>
    <row r="30" spans="1:10" s="49" customFormat="1" ht="12.75" hidden="1">
      <c r="A30" s="53"/>
      <c r="C30" s="53"/>
      <c r="D30" s="55"/>
      <c r="E30" s="53"/>
      <c r="F30" s="53"/>
      <c r="G30" s="53"/>
      <c r="H30" s="53"/>
      <c r="I30" s="53"/>
      <c r="J30" s="53"/>
    </row>
    <row r="31" spans="1:10" s="49" customFormat="1" ht="12.75" hidden="1">
      <c r="A31" s="53"/>
      <c r="C31" s="53"/>
      <c r="D31" s="55"/>
      <c r="E31" s="53"/>
      <c r="F31" s="53"/>
      <c r="G31" s="53"/>
      <c r="H31" s="53"/>
      <c r="I31" s="53"/>
      <c r="J31" s="53"/>
    </row>
    <row r="32" spans="1:10" s="49" customFormat="1" ht="12.75" hidden="1">
      <c r="A32" s="53"/>
      <c r="C32" s="53"/>
      <c r="D32" s="55"/>
      <c r="E32" s="53"/>
      <c r="F32" s="53"/>
      <c r="G32" s="53"/>
      <c r="H32" s="53"/>
      <c r="I32" s="53"/>
      <c r="J32" s="53"/>
    </row>
    <row r="33" spans="1:10" s="49" customFormat="1" ht="12.75" hidden="1">
      <c r="A33" s="53"/>
      <c r="C33" s="53"/>
      <c r="D33" s="55"/>
      <c r="E33" s="53"/>
      <c r="F33" s="53"/>
      <c r="G33" s="53"/>
      <c r="H33" s="53"/>
      <c r="I33" s="53"/>
      <c r="J33" s="53"/>
    </row>
    <row r="34" spans="1:10" s="49" customFormat="1" ht="12.75" hidden="1">
      <c r="A34" s="53"/>
      <c r="C34" s="53"/>
      <c r="D34" s="55"/>
      <c r="E34" s="53"/>
      <c r="F34" s="53"/>
      <c r="G34" s="53"/>
      <c r="H34" s="53"/>
      <c r="I34" s="53"/>
      <c r="J34" s="53"/>
    </row>
    <row r="35" spans="1:10" s="49" customFormat="1" ht="12.75" hidden="1">
      <c r="A35" s="53"/>
      <c r="C35" s="53"/>
      <c r="D35" s="55"/>
      <c r="E35" s="53"/>
      <c r="F35" s="53"/>
      <c r="G35" s="53"/>
      <c r="H35" s="53"/>
      <c r="I35" s="53"/>
      <c r="J35" s="53"/>
    </row>
    <row r="36" spans="1:10" s="49" customFormat="1" ht="12.75" hidden="1">
      <c r="A36" s="53"/>
      <c r="C36" s="53"/>
      <c r="D36" s="55"/>
      <c r="E36" s="53"/>
      <c r="F36" s="53"/>
      <c r="G36" s="53"/>
      <c r="H36" s="53"/>
      <c r="I36" s="53"/>
      <c r="J36" s="53"/>
    </row>
    <row r="37" spans="1:10" s="49" customFormat="1" ht="12.75" hidden="1">
      <c r="A37" s="53"/>
      <c r="C37" s="53"/>
      <c r="D37" s="55"/>
      <c r="E37" s="53"/>
      <c r="F37" s="53"/>
      <c r="G37" s="53"/>
      <c r="H37" s="53"/>
      <c r="I37" s="53"/>
      <c r="J37" s="53"/>
    </row>
    <row r="38" spans="1:10" s="49" customFormat="1" ht="12.75" hidden="1">
      <c r="A38" s="53"/>
      <c r="C38" s="53"/>
      <c r="D38" s="55"/>
      <c r="E38" s="53"/>
      <c r="F38" s="53"/>
      <c r="G38" s="53"/>
      <c r="H38" s="53"/>
      <c r="I38" s="53"/>
      <c r="J38" s="53"/>
    </row>
    <row r="39" spans="1:10" s="49" customFormat="1" ht="12.75" hidden="1">
      <c r="A39" s="53"/>
      <c r="C39" s="53"/>
      <c r="D39" s="55"/>
      <c r="E39" s="53"/>
      <c r="F39" s="53"/>
      <c r="G39" s="53"/>
      <c r="H39" s="53"/>
      <c r="I39" s="53"/>
      <c r="J39" s="53"/>
    </row>
    <row r="40" spans="1:10" s="49" customFormat="1" ht="12.75" hidden="1">
      <c r="A40" s="53"/>
      <c r="C40" s="53"/>
      <c r="D40" s="55"/>
      <c r="E40" s="53"/>
      <c r="F40" s="53"/>
      <c r="G40" s="53"/>
      <c r="H40" s="53"/>
      <c r="I40" s="53"/>
      <c r="J40" s="53"/>
    </row>
    <row r="41" spans="1:10" s="49" customFormat="1" ht="12.75" hidden="1">
      <c r="A41" s="53"/>
      <c r="C41" s="53"/>
      <c r="D41" s="55"/>
      <c r="E41" s="53"/>
      <c r="F41" s="53"/>
      <c r="G41" s="53"/>
      <c r="H41" s="53"/>
      <c r="I41" s="53"/>
      <c r="J41" s="53"/>
    </row>
    <row r="42" spans="1:10" s="49" customFormat="1" ht="12.75" hidden="1">
      <c r="A42" s="53"/>
      <c r="C42" s="53"/>
      <c r="D42" s="55"/>
      <c r="E42" s="53"/>
      <c r="F42" s="53"/>
      <c r="G42" s="53"/>
      <c r="H42" s="53"/>
      <c r="I42" s="53"/>
      <c r="J42" s="53"/>
    </row>
    <row r="43" spans="1:10" s="49" customFormat="1" ht="12.75" hidden="1">
      <c r="A43" s="53"/>
      <c r="C43" s="53"/>
      <c r="D43" s="55"/>
      <c r="E43" s="53"/>
      <c r="F43" s="53"/>
      <c r="G43" s="53"/>
      <c r="H43" s="53"/>
      <c r="I43" s="53"/>
      <c r="J43" s="53"/>
    </row>
    <row r="44" spans="1:10" s="49" customFormat="1" ht="12.75" hidden="1">
      <c r="A44" s="53"/>
      <c r="C44" s="53"/>
      <c r="D44" s="55"/>
      <c r="E44" s="53"/>
      <c r="F44" s="53"/>
      <c r="G44" s="53"/>
      <c r="H44" s="53"/>
      <c r="I44" s="53"/>
      <c r="J44" s="53"/>
    </row>
    <row r="45" spans="1:10" s="49" customFormat="1" ht="12.75" hidden="1">
      <c r="A45" s="53"/>
      <c r="C45" s="53"/>
      <c r="D45" s="55"/>
      <c r="E45" s="53"/>
      <c r="F45" s="53"/>
      <c r="G45" s="53"/>
      <c r="H45" s="53"/>
      <c r="I45" s="53"/>
      <c r="J45" s="53"/>
    </row>
    <row r="46" spans="1:10" s="49" customFormat="1" ht="12.75" hidden="1">
      <c r="A46" s="53"/>
      <c r="C46" s="53"/>
      <c r="D46" s="55"/>
      <c r="E46" s="53"/>
      <c r="F46" s="53"/>
      <c r="G46" s="53"/>
      <c r="H46" s="53"/>
      <c r="I46" s="53"/>
      <c r="J46" s="53"/>
    </row>
    <row r="47" spans="1:10" s="49" customFormat="1" ht="12.75" hidden="1">
      <c r="A47" s="53"/>
      <c r="C47" s="53"/>
      <c r="D47" s="55"/>
      <c r="E47" s="53"/>
      <c r="F47" s="53"/>
      <c r="G47" s="53"/>
      <c r="H47" s="53"/>
      <c r="I47" s="53"/>
      <c r="J47" s="53"/>
    </row>
    <row r="48" spans="1:10" s="49" customFormat="1" ht="12.75" hidden="1">
      <c r="A48" s="53"/>
      <c r="C48" s="53"/>
      <c r="D48" s="55"/>
      <c r="E48" s="53"/>
      <c r="F48" s="53"/>
      <c r="G48" s="53"/>
      <c r="H48" s="53"/>
      <c r="I48" s="53"/>
      <c r="J48" s="53"/>
    </row>
    <row r="49" spans="1:10" s="49" customFormat="1" ht="12.75" hidden="1">
      <c r="A49" s="53"/>
      <c r="C49" s="53"/>
      <c r="D49" s="55"/>
      <c r="E49" s="53"/>
      <c r="F49" s="53"/>
      <c r="G49" s="53"/>
      <c r="H49" s="53"/>
      <c r="I49" s="53"/>
      <c r="J49" s="53"/>
    </row>
    <row r="50" spans="1:10" s="49" customFormat="1" ht="12.75" hidden="1">
      <c r="A50" s="53"/>
      <c r="C50" s="53"/>
      <c r="D50" s="55"/>
      <c r="E50" s="53"/>
      <c r="F50" s="53"/>
      <c r="G50" s="53"/>
      <c r="H50" s="53"/>
      <c r="I50" s="53"/>
      <c r="J50" s="53"/>
    </row>
    <row r="51" spans="1:10" s="49" customFormat="1" ht="12.75" hidden="1">
      <c r="A51" s="53"/>
      <c r="C51" s="53"/>
      <c r="D51" s="55"/>
      <c r="E51" s="53"/>
      <c r="F51" s="53"/>
      <c r="G51" s="53"/>
      <c r="H51" s="53"/>
      <c r="I51" s="53"/>
      <c r="J51" s="53"/>
    </row>
    <row r="52" spans="1:10" s="49" customFormat="1" ht="12.75" hidden="1">
      <c r="A52" s="53"/>
      <c r="C52" s="53"/>
      <c r="D52" s="55"/>
      <c r="E52" s="53"/>
      <c r="F52" s="53"/>
      <c r="G52" s="53"/>
      <c r="H52" s="53"/>
      <c r="I52" s="53"/>
      <c r="J52" s="53"/>
    </row>
    <row r="53" spans="1:10" s="49" customFormat="1" ht="12.75" hidden="1">
      <c r="A53" s="53"/>
      <c r="C53" s="53"/>
      <c r="D53" s="55"/>
      <c r="E53" s="53"/>
      <c r="F53" s="53"/>
      <c r="G53" s="53"/>
      <c r="H53" s="53"/>
      <c r="I53" s="53"/>
      <c r="J53" s="53"/>
    </row>
    <row r="54" spans="1:10" s="49" customFormat="1" ht="12.75" hidden="1">
      <c r="A54" s="53"/>
      <c r="C54" s="53"/>
      <c r="D54" s="55"/>
      <c r="E54" s="53"/>
      <c r="F54" s="53"/>
      <c r="G54" s="53"/>
      <c r="H54" s="53"/>
      <c r="I54" s="53"/>
      <c r="J54" s="53"/>
    </row>
    <row r="55" spans="1:10" s="49" customFormat="1" ht="12.75" hidden="1">
      <c r="A55" s="53"/>
      <c r="C55" s="53"/>
      <c r="D55" s="55"/>
      <c r="E55" s="53"/>
      <c r="F55" s="53"/>
      <c r="G55" s="53"/>
      <c r="H55" s="53"/>
      <c r="I55" s="53"/>
      <c r="J55" s="53"/>
    </row>
    <row r="56" spans="1:10" s="49" customFormat="1" ht="12.75" hidden="1">
      <c r="A56" s="53"/>
      <c r="C56" s="53"/>
      <c r="D56" s="55"/>
      <c r="E56" s="53"/>
      <c r="F56" s="53"/>
      <c r="G56" s="53"/>
      <c r="H56" s="53"/>
      <c r="I56" s="53"/>
      <c r="J56" s="53"/>
    </row>
    <row r="57" spans="1:10" s="49" customFormat="1" ht="12.75" hidden="1">
      <c r="A57" s="53"/>
      <c r="C57" s="53"/>
      <c r="D57" s="55"/>
      <c r="E57" s="53"/>
      <c r="F57" s="53"/>
      <c r="G57" s="53"/>
      <c r="H57" s="53"/>
      <c r="I57" s="53"/>
      <c r="J57" s="53"/>
    </row>
    <row r="58" spans="1:10" s="49" customFormat="1" ht="12.75" hidden="1">
      <c r="A58" s="53"/>
      <c r="C58" s="53"/>
      <c r="D58" s="55"/>
      <c r="E58" s="53"/>
      <c r="F58" s="53"/>
      <c r="G58" s="53"/>
      <c r="H58" s="53"/>
      <c r="I58" s="53"/>
      <c r="J58" s="53"/>
    </row>
    <row r="59" spans="1:10" s="49" customFormat="1" ht="12.75" hidden="1">
      <c r="A59" s="53"/>
      <c r="C59" s="53"/>
      <c r="D59" s="55"/>
      <c r="E59" s="53"/>
      <c r="F59" s="53"/>
      <c r="G59" s="53"/>
      <c r="H59" s="53"/>
      <c r="I59" s="53"/>
      <c r="J59" s="53"/>
    </row>
    <row r="60" spans="1:16" s="49" customFormat="1" ht="12.75" hidden="1">
      <c r="A60" s="53"/>
      <c r="C60" s="53"/>
      <c r="D60" s="53"/>
      <c r="E60" s="53"/>
      <c r="F60" s="53"/>
      <c r="G60" s="53"/>
      <c r="H60" s="53"/>
      <c r="I60" s="53"/>
      <c r="J60" s="53"/>
      <c r="K60" s="53"/>
      <c r="L60" s="53"/>
      <c r="M60" s="55"/>
      <c r="N60" s="53"/>
      <c r="O60" s="53"/>
      <c r="P60" s="53"/>
    </row>
    <row r="65" ht="12.75"/>
    <row r="66" ht="12.75"/>
  </sheetData>
  <sheetProtection/>
  <printOptions horizontalCentered="1"/>
  <pageMargins left="0.7480314960629921" right="0.7480314960629921" top="0.984251968503937" bottom="0.984251968503937" header="0.5118110236220472" footer="0.5118110236220472"/>
  <pageSetup horizontalDpi="360" verticalDpi="360" orientation="portrait" paperSize="9" r:id="rId3"/>
  <headerFooter alignWithMargins="0">
    <oddFooter>&amp;C&amp;"Arial,Italic"&amp;9&amp;Y&amp;F by Mladen Čačić</oddFooter>
  </headerFooter>
  <legacyDrawing r:id="rId2"/>
</worksheet>
</file>

<file path=xl/worksheets/sheet19.xml><?xml version="1.0" encoding="utf-8"?>
<worksheet xmlns="http://schemas.openxmlformats.org/spreadsheetml/2006/main" xmlns:r="http://schemas.openxmlformats.org/officeDocument/2006/relationships">
  <sheetPr codeName="Sheet19">
    <tabColor indexed="11"/>
  </sheetPr>
  <dimension ref="A1:AM92"/>
  <sheetViews>
    <sheetView showGridLines="0" showRowColHeaders="0" zoomScale="48" zoomScaleNormal="48" zoomScalePageLayoutView="0" workbookViewId="0" topLeftCell="D1">
      <selection activeCell="R4" sqref="R4"/>
    </sheetView>
  </sheetViews>
  <sheetFormatPr defaultColWidth="9.140625" defaultRowHeight="12.75"/>
  <cols>
    <col min="1" max="1" width="9.28125" style="130" customWidth="1"/>
    <col min="2" max="2" width="22.8515625" style="6" customWidth="1"/>
    <col min="3" max="3" width="20.421875" style="6" customWidth="1"/>
    <col min="4" max="4" width="5.7109375" style="6" customWidth="1"/>
    <col min="5" max="5" width="10.28125" style="6" customWidth="1"/>
    <col min="6" max="6" width="9.00390625" style="6" customWidth="1"/>
    <col min="7" max="7" width="6.421875" style="6" customWidth="1"/>
    <col min="8" max="8" width="20.421875" style="6" customWidth="1"/>
    <col min="9" max="9" width="5.7109375" style="6" customWidth="1"/>
    <col min="10" max="10" width="10.421875" style="6" customWidth="1"/>
    <col min="11" max="11" width="9.00390625" style="6" customWidth="1"/>
    <col min="12" max="12" width="6.421875" style="6" customWidth="1"/>
    <col min="13" max="13" width="20.421875" style="6" customWidth="1"/>
    <col min="14" max="14" width="5.7109375" style="6" customWidth="1"/>
    <col min="15" max="15" width="10.421875" style="6" customWidth="1"/>
    <col min="16" max="16" width="9.00390625" style="6" customWidth="1"/>
    <col min="17" max="17" width="6.421875" style="6" customWidth="1"/>
    <col min="18" max="18" width="20.421875" style="6" customWidth="1"/>
    <col min="19" max="19" width="5.7109375" style="6" customWidth="1"/>
    <col min="20" max="20" width="10.421875" style="6" customWidth="1"/>
    <col min="21" max="21" width="8.7109375" style="6" customWidth="1"/>
    <col min="22" max="22" width="6.421875" style="6" customWidth="1"/>
    <col min="23" max="23" width="20.421875" style="6" customWidth="1"/>
    <col min="24" max="24" width="5.7109375" style="6" customWidth="1"/>
    <col min="25" max="25" width="10.421875" style="6" customWidth="1"/>
    <col min="26" max="26" width="9.00390625" style="6" customWidth="1"/>
    <col min="27" max="27" width="6.421875" style="6" customWidth="1"/>
    <col min="28" max="28" width="9.57421875" style="6" customWidth="1"/>
    <col min="29" max="29" width="16.28125" style="6" customWidth="1"/>
    <col min="30" max="30" width="8.140625" style="6" customWidth="1"/>
    <col min="31" max="31" width="9.140625" style="6" customWidth="1"/>
    <col min="32" max="32" width="15.57421875" style="68" customWidth="1"/>
    <col min="33" max="33" width="15.57421875" style="197" hidden="1" customWidth="1"/>
    <col min="34" max="34" width="18.7109375" style="68" hidden="1" customWidth="1"/>
    <col min="35" max="38" width="9.140625" style="68" hidden="1" customWidth="1"/>
    <col min="39" max="39" width="11.00390625" style="68" hidden="1" customWidth="1"/>
    <col min="40" max="16384" width="9.140625" style="6" customWidth="1"/>
  </cols>
  <sheetData>
    <row r="1" spans="1:33" s="101" customFormat="1" ht="35.25">
      <c r="A1" s="128"/>
      <c r="B1" s="100"/>
      <c r="N1" s="137" t="s">
        <v>117</v>
      </c>
      <c r="AG1" s="197"/>
    </row>
    <row r="2" spans="1:33" s="101" customFormat="1" ht="35.25">
      <c r="A2" s="129"/>
      <c r="B2" s="102"/>
      <c r="C2" s="103"/>
      <c r="N2" s="137" t="s">
        <v>118</v>
      </c>
      <c r="W2" s="6"/>
      <c r="AG2" s="197"/>
    </row>
    <row r="3" spans="1:39" s="72" customFormat="1" ht="20.25">
      <c r="A3" s="130"/>
      <c r="B3" s="6"/>
      <c r="C3" s="6"/>
      <c r="D3" s="6"/>
      <c r="E3" s="6"/>
      <c r="F3" s="6"/>
      <c r="G3" s="6"/>
      <c r="H3" s="6"/>
      <c r="I3" s="6"/>
      <c r="J3" s="6"/>
      <c r="K3" s="6"/>
      <c r="L3" s="6"/>
      <c r="M3" s="6"/>
      <c r="N3" s="6"/>
      <c r="O3" s="6"/>
      <c r="P3" s="6"/>
      <c r="Q3" s="6"/>
      <c r="R3" s="6"/>
      <c r="S3" s="6"/>
      <c r="T3" s="6"/>
      <c r="U3" s="6"/>
      <c r="V3" s="6"/>
      <c r="W3" s="6"/>
      <c r="X3" s="6"/>
      <c r="Y3" s="6"/>
      <c r="Z3" s="6"/>
      <c r="AA3" s="6"/>
      <c r="AB3" s="6"/>
      <c r="AC3" s="6"/>
      <c r="AD3" s="6"/>
      <c r="AF3" s="68"/>
      <c r="AG3" s="197"/>
      <c r="AH3" s="68"/>
      <c r="AI3" s="68"/>
      <c r="AJ3" s="68"/>
      <c r="AK3" s="68"/>
      <c r="AL3" s="68"/>
      <c r="AM3" s="68"/>
    </row>
    <row r="4" spans="1:33" s="115" customFormat="1" ht="27">
      <c r="A4" s="130"/>
      <c r="B4" s="138">
        <f>IF(ISBLANK('Organizacija natjecanja'!$H$2)=TRUE,"",'Organizacija natjecanja'!$H$2)</f>
      </c>
      <c r="D4" s="138">
        <f>IF(ISBLANK('Organizacija natjecanja'!$H$9)=TRUE,"",'Organizacija natjecanja'!$H$9)</f>
      </c>
      <c r="AA4" s="114">
        <f>IF(ISBLANK('Organizacija natjecanja'!$H$5)=TRUE,"",'Organizacija natjecanja'!$H$5)</f>
      </c>
      <c r="AG4" s="197"/>
    </row>
    <row r="5" spans="1:39" s="72" customFormat="1" ht="20.25">
      <c r="A5" s="130"/>
      <c r="B5" s="31" t="s">
        <v>63</v>
      </c>
      <c r="I5" s="6"/>
      <c r="M5" s="6"/>
      <c r="P5" s="6"/>
      <c r="Q5" s="6"/>
      <c r="R5" s="6"/>
      <c r="S5" s="6"/>
      <c r="T5" s="6"/>
      <c r="U5" s="6"/>
      <c r="V5" s="6"/>
      <c r="W5" s="6"/>
      <c r="X5" s="6"/>
      <c r="Y5" s="6"/>
      <c r="Z5" s="6"/>
      <c r="AA5" s="31" t="s">
        <v>106</v>
      </c>
      <c r="AF5" s="68"/>
      <c r="AG5" s="197"/>
      <c r="AH5" s="68"/>
      <c r="AI5" s="68"/>
      <c r="AJ5" s="68"/>
      <c r="AK5" s="68"/>
      <c r="AL5" s="68"/>
      <c r="AM5" s="68"/>
    </row>
    <row r="6" spans="1:39" s="72" customFormat="1" ht="20.25">
      <c r="A6" s="131"/>
      <c r="AF6" s="68"/>
      <c r="AG6" s="197"/>
      <c r="AH6" s="68"/>
      <c r="AI6" s="68"/>
      <c r="AJ6" s="68"/>
      <c r="AK6" s="68"/>
      <c r="AL6" s="68"/>
      <c r="AM6" s="68"/>
    </row>
    <row r="7" spans="1:39" s="72" customFormat="1" ht="21" thickBot="1">
      <c r="A7" s="131"/>
      <c r="AF7" s="68"/>
      <c r="AG7" s="197"/>
      <c r="AH7" s="68"/>
      <c r="AI7" s="68"/>
      <c r="AJ7" s="68"/>
      <c r="AK7" s="68"/>
      <c r="AL7" s="68"/>
      <c r="AM7" s="68"/>
    </row>
    <row r="8" spans="1:33" s="116" customFormat="1" ht="27" thickBot="1">
      <c r="A8" s="492" t="s">
        <v>107</v>
      </c>
      <c r="B8" s="494" t="s">
        <v>195</v>
      </c>
      <c r="C8" s="496" t="s">
        <v>96</v>
      </c>
      <c r="D8" s="497"/>
      <c r="E8" s="497"/>
      <c r="F8" s="497"/>
      <c r="G8" s="498"/>
      <c r="H8" s="496" t="s">
        <v>97</v>
      </c>
      <c r="I8" s="497"/>
      <c r="J8" s="497"/>
      <c r="K8" s="497"/>
      <c r="L8" s="498"/>
      <c r="M8" s="503" t="s">
        <v>98</v>
      </c>
      <c r="N8" s="504"/>
      <c r="O8" s="504"/>
      <c r="P8" s="504"/>
      <c r="Q8" s="504"/>
      <c r="R8" s="505" t="s">
        <v>99</v>
      </c>
      <c r="S8" s="504"/>
      <c r="T8" s="504"/>
      <c r="U8" s="504"/>
      <c r="V8" s="506"/>
      <c r="W8" s="496" t="s">
        <v>100</v>
      </c>
      <c r="X8" s="497"/>
      <c r="Y8" s="497"/>
      <c r="Z8" s="497"/>
      <c r="AA8" s="498"/>
      <c r="AB8" s="507" t="s">
        <v>111</v>
      </c>
      <c r="AC8" s="499" t="s">
        <v>109</v>
      </c>
      <c r="AD8" s="501" t="s">
        <v>112</v>
      </c>
      <c r="AG8" s="197"/>
    </row>
    <row r="9" spans="1:39" s="72" customFormat="1" ht="156.75" thickBot="1">
      <c r="A9" s="493"/>
      <c r="B9" s="495"/>
      <c r="C9" s="352" t="s">
        <v>128</v>
      </c>
      <c r="D9" s="353" t="s">
        <v>108</v>
      </c>
      <c r="E9" s="354" t="s">
        <v>109</v>
      </c>
      <c r="F9" s="354" t="s">
        <v>110</v>
      </c>
      <c r="G9" s="355" t="s">
        <v>127</v>
      </c>
      <c r="H9" s="352" t="s">
        <v>128</v>
      </c>
      <c r="I9" s="354" t="s">
        <v>108</v>
      </c>
      <c r="J9" s="354" t="s">
        <v>109</v>
      </c>
      <c r="K9" s="356" t="s">
        <v>110</v>
      </c>
      <c r="L9" s="355" t="s">
        <v>127</v>
      </c>
      <c r="M9" s="357" t="s">
        <v>128</v>
      </c>
      <c r="N9" s="358" t="s">
        <v>108</v>
      </c>
      <c r="O9" s="358" t="s">
        <v>109</v>
      </c>
      <c r="P9" s="358" t="s">
        <v>110</v>
      </c>
      <c r="Q9" s="359" t="s">
        <v>127</v>
      </c>
      <c r="R9" s="357" t="s">
        <v>128</v>
      </c>
      <c r="S9" s="358" t="s">
        <v>108</v>
      </c>
      <c r="T9" s="358" t="s">
        <v>109</v>
      </c>
      <c r="U9" s="360" t="s">
        <v>110</v>
      </c>
      <c r="V9" s="359" t="s">
        <v>127</v>
      </c>
      <c r="W9" s="361" t="s">
        <v>128</v>
      </c>
      <c r="X9" s="354" t="s">
        <v>108</v>
      </c>
      <c r="Y9" s="354" t="s">
        <v>109</v>
      </c>
      <c r="Z9" s="354" t="s">
        <v>110</v>
      </c>
      <c r="AA9" s="355" t="s">
        <v>127</v>
      </c>
      <c r="AB9" s="508"/>
      <c r="AC9" s="500"/>
      <c r="AD9" s="502"/>
      <c r="AF9" s="68"/>
      <c r="AG9" s="197"/>
      <c r="AH9" s="68"/>
      <c r="AI9" s="68"/>
      <c r="AJ9" s="68"/>
      <c r="AK9" s="68" t="s">
        <v>113</v>
      </c>
      <c r="AL9" s="68" t="s">
        <v>114</v>
      </c>
      <c r="AM9" s="68"/>
    </row>
    <row r="10" spans="1:39" s="72" customFormat="1" ht="52.5" customHeight="1">
      <c r="A10" s="147">
        <f>IF(OR(ISNUMBER(D10)=TRUE,ISNUMBER(I10)=TRUE,ISNUMBER(N10)=TRUE,ISNUMBER(S10)=TRUE,ISNUMBER(X10)=TRUE),1,"")</f>
      </c>
      <c r="B10" s="165">
        <f>IF(ISBLANK('Prijava ekipa i izvlačenje br.'!C2)=TRUE,"",'Prijava ekipa i izvlačenje br.'!C2)</f>
      </c>
      <c r="C10" s="166">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c>
      <c r="D10" s="95">
        <f>IF(AND(ISNUMBER('Prijava ekipa i izvlačenje br.'!A2)=TRUE,ISNUMBER(E10)=TRUE),'Prijava ekipa i izvlačenje br.'!A2,IF(AND(ISNUMBER('Prijava ekipa i izvlačenje br.'!F2)=TRUE,COUNTIF('Prijava ekipa i izvlačenje br.'!$E2,"A")=1),'Prijava ekipa i izvlačenje br.'!F2,IF(AND(ISNUMBER('Prijava ekipa i izvlačenje br.'!I2)=TRUE,COUNTIF('Prijava ekipa i izvlačenje br.'!$H2,"A")=1),'Prijava ekipa i izvlačenje br.'!I2,IF(AND(ISNUMBER('Prijava ekipa i izvlačenje br.'!L2)=TRUE,COUNTIF('Prijava ekipa i izvlačenje br.'!$K2,"A")=1),'Prijava ekipa i izvlačenje br.'!L2,IF(AND(ISNUMBER('Prijava ekipa i izvlačenje br.'!O2)=TRUE,COUNTIF('Prijava ekipa i izvlačenje br.'!$N2,"A")=1),'Prijava ekipa i izvlačenje br.'!O2,IF(AND(ISNUMBER('Prijava ekipa i izvlačenje br.'!R2)=TRUE,COUNTIF('Prijava ekipa i izvlačenje br.'!$Q2,"A")=1),'Prijava ekipa i izvlačenje br.'!R2,""))))))</f>
      </c>
      <c r="E10" s="112">
        <f>IF(ISBLANK('Upis rezultata A sektora'!F2)=TRUE,"",'Upis rezultata A sektora'!F2)</f>
      </c>
      <c r="F10" s="112">
        <f>IF(ISBLANK('Upis rezultata A sektora'!B2)=TRUE,"",'Upis rezultata A sektora'!B2)</f>
      </c>
      <c r="G10" s="117">
        <f>IF(AND(ISNUMBER(AL10)=TRUE,ISNUMBER(E10)=TRUE),AL10,"")</f>
      </c>
      <c r="H10" s="157">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c>
      <c r="I10" s="95">
        <f>IF(AND(ISNUMBER('Prijava ekipa i izvlačenje br.'!A2)=TRUE,ISNUMBER(J10)=TRUE),'Prijava ekipa i izvlačenje br.'!A2,IF(AND(ISNUMBER('Prijava ekipa i izvlačenje br.'!F2)=TRUE,COUNTIF('Prijava ekipa i izvlačenje br.'!$E2,"B")=1),'Prijava ekipa i izvlačenje br.'!F2,IF(AND(ISNUMBER('Prijava ekipa i izvlačenje br.'!I2)=TRUE,COUNTIF('Prijava ekipa i izvlačenje br.'!$H2,"B")=1),'Prijava ekipa i izvlačenje br.'!I2,IF(AND(ISNUMBER('Prijava ekipa i izvlačenje br.'!L2)=TRUE,COUNTIF('Prijava ekipa i izvlačenje br.'!$K2,"B")=1),'Prijava ekipa i izvlačenje br.'!L2,IF(AND(ISNUMBER('Prijava ekipa i izvlačenje br.'!O2)=TRUE,COUNTIF('Prijava ekipa i izvlačenje br.'!$N2,"B")=1),'Prijava ekipa i izvlačenje br.'!O2,IF(AND(ISNUMBER('Prijava ekipa i izvlačenje br.'!R2)=TRUE,COUNTIF('Prijava ekipa i izvlačenje br.'!$Q2,"B")=1),'Prijava ekipa i izvlačenje br.'!R2,""))))))</f>
      </c>
      <c r="J10" s="112">
        <f>IF(ISBLANK('Upis rezultata B sektora'!F2)=TRUE,"",'Upis rezultata B sektora'!F2)</f>
      </c>
      <c r="K10" s="112">
        <f>IF(ISBLANK('Upis rezultata B sektora'!B2)=TRUE,"",'Upis rezultata B sektora'!B2)</f>
      </c>
      <c r="L10" s="158">
        <f>IF(AND(ISNUMBER(AL22)=TRUE,ISNUMBER(J10)=TRUE),AL22,"")</f>
      </c>
      <c r="M10" s="94">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c>
      <c r="N10" s="95">
        <f>IF(AND(ISNUMBER('Prijava ekipa i izvlačenje br.'!A2)=TRUE,ISNUMBER(O10)),'Prijava ekipa i izvlačenje br.'!A2,IF(AND(ISNUMBER('Prijava ekipa i izvlačenje br.'!F2)=TRUE,COUNTIF('Prijava ekipa i izvlačenje br.'!$E2,"C")=1),'Prijava ekipa i izvlačenje br.'!F2,IF(AND(ISNUMBER('Prijava ekipa i izvlačenje br.'!I2)=TRUE,COUNTIF('Prijava ekipa i izvlačenje br.'!$H2,"C")=1),'Prijava ekipa i izvlačenje br.'!I2,IF(AND(ISNUMBER('Prijava ekipa i izvlačenje br.'!L2)=TRUE,COUNTIF('Prijava ekipa i izvlačenje br.'!$K2,"C")=1),'Prijava ekipa i izvlačenje br.'!L2,IF(AND(ISNUMBER('Prijava ekipa i izvlačenje br.'!O2)=TRUE,COUNTIF('Prijava ekipa i izvlačenje br.'!$N2,"C")=1),'Prijava ekipa i izvlačenje br.'!O2,IF(AND(ISNUMBER('Prijava ekipa i izvlačenje br.'!R2)=TRUE,COUNTIF('Prijava ekipa i izvlačenje br.'!$Q2,"C")=1),'Prijava ekipa i izvlačenje br.'!R2,""))))))</f>
      </c>
      <c r="O10" s="112">
        <f>IF(ISBLANK('Upis rezultata C sektora'!F2)=TRUE,"",'Upis rezultata C sektora'!F2)</f>
      </c>
      <c r="P10" s="112">
        <f>IF(ISBLANK('Upis rezultata C sektora'!B2)=TRUE,"",'Upis rezultata C sektora'!B2)</f>
      </c>
      <c r="Q10" s="155">
        <f>IF(AND(ISNUMBER(AL34)=TRUE,ISNUMBER(O10)=TRUE),AL34,"")</f>
      </c>
      <c r="R10" s="157">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c>
      <c r="S10" s="95">
        <f>IF(AND(ISNUMBER('Prijava ekipa i izvlačenje br.'!A2)=TRUE,ISNUMBER(T10)=TRUE),'Prijava ekipa i izvlačenje br.'!A2,IF(AND(ISNUMBER('Prijava ekipa i izvlačenje br.'!F2)=TRUE,COUNTIF('Prijava ekipa i izvlačenje br.'!$E2,"D")=1),'Prijava ekipa i izvlačenje br.'!F2,IF(AND(ISNUMBER('Prijava ekipa i izvlačenje br.'!I2)=TRUE,COUNTIF('Prijava ekipa i izvlačenje br.'!$H2,"D")=1),'Prijava ekipa i izvlačenje br.'!I2,IF(AND(ISNUMBER('Prijava ekipa i izvlačenje br.'!L2)=TRUE,COUNTIF('Prijava ekipa i izvlačenje br.'!$K2,"D")=1),'Prijava ekipa i izvlačenje br.'!L2,IF(AND(ISNUMBER('Prijava ekipa i izvlačenje br.'!O2)=TRUE,COUNTIF('Prijava ekipa i izvlačenje br.'!$N2,"D")=1),'Prijava ekipa i izvlačenje br.'!O2,IF(AND(ISNUMBER('Prijava ekipa i izvlačenje br.'!R2)=TRUE,COUNTIF('Prijava ekipa i izvlačenje br.'!$Q2,"D")=1),'Prijava ekipa i izvlačenje br.'!R2,""))))))</f>
      </c>
      <c r="T10" s="112">
        <f>IF(ISBLANK('Upis rezultata D sektora'!F2)=TRUE,"",'Upis rezultata D sektora'!F2)</f>
      </c>
      <c r="U10" s="112">
        <f>IF(ISBLANK('Upis rezultata D sektora'!B2)=TRUE,"",'Upis rezultata D sektora'!B2)</f>
      </c>
      <c r="V10" s="158">
        <f>IF(AND(ISNUMBER(AL46)=TRUE,ISNUMBER(T10)=TRUE),AL46,"")</f>
      </c>
      <c r="W10" s="94">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c>
      <c r="X10" s="95">
        <f>IF(AND(ISNUMBER('Prijava ekipa i izvlačenje br.'!A2)=TRUE,ISNUMBER(Y10)=TRUE),'Prijava ekipa i izvlačenje br.'!A2,IF(AND(ISNUMBER('Prijava ekipa i izvlačenje br.'!F2)=TRUE,COUNTIF('Prijava ekipa i izvlačenje br.'!$E2,"E")=1),'Prijava ekipa i izvlačenje br.'!F2,IF(AND(ISNUMBER('Prijava ekipa i izvlačenje br.'!I2)=TRUE,COUNTIF('Prijava ekipa i izvlačenje br.'!$H2,"E")=1),'Prijava ekipa i izvlačenje br.'!I2,IF(AND(ISNUMBER('Prijava ekipa i izvlačenje br.'!L2)=TRUE,COUNTIF('Prijava ekipa i izvlačenje br.'!$K2,"E")=1),'Prijava ekipa i izvlačenje br.'!L2,IF(AND(ISNUMBER('Prijava ekipa i izvlačenje br.'!O2)=TRUE,COUNTIF('Prijava ekipa i izvlačenje br.'!$N2,"E")=1),'Prijava ekipa i izvlačenje br.'!O2,IF(AND(ISNUMBER('Prijava ekipa i izvlačenje br.'!R2)=TRUE,COUNTIF('Prijava ekipa i izvlačenje br.'!$Q2,"E")=1),'Prijava ekipa i izvlačenje br.'!R2,""))))))</f>
      </c>
      <c r="Y10" s="112">
        <f>IF(ISBLANK('Upis rezultata E sektora'!F2)=TRUE,"",'Upis rezultata E sektora'!F2)</f>
      </c>
      <c r="Z10" s="112">
        <f>IF(ISBLANK('Upis rezultata E sektora'!B2)=TRUE,"",'Upis rezultata E sektora'!B2)</f>
      </c>
      <c r="AA10" s="117">
        <f>IF(AND(ISNUMBER(AL58)=TRUE,ISNUMBER(Y10)=TRUE),AL58,"")</f>
      </c>
      <c r="AB10" s="113">
        <f>IF(OR(ISNUMBER(F10)=TRUE,ISNUMBER(K10)=TRUE,ISNUMBER(P10)=TRUE,ISNUMBER(U10)=TRUE,ISNUMBER(Z10)=TRUE),SUM(F10,K10,P10,U10,Z10),"")</f>
      </c>
      <c r="AC10" s="112">
        <f>IF(ISNUMBER(AB10)=FALSE,"",IF(AND(ISNUMBER(AB10)=TRUE,ISNUMBER(E10)=FALSE,ISNUMBER(J10)=FALSE,ISNUMBER(O10)=FALSE,ISNUMBER(T10)=FALSE,ISNUMBER(Y10)=FALSE),"",SUM(E10,J10,O10,T10,Y10)))</f>
      </c>
      <c r="AD10" s="148">
        <f aca="true" t="shared" si="0" ref="AD10:AD20">IF(AND(ISNUMBER(E10)=FALSE,ISNUMBER(J10)=FALSE,ISNUMBER(O10)=FALSE,ISNUMBER(T10)=FALSE,ISNUMBER(Y10)=FALSE,ISNUMBER(AB10)=TRUE),(COUNTA(B$10:B$21)-COUNTIF(B$10:B$21,""))+1,IF(ISNUMBER(AB10)=TRUE,RANK(AH10,$AH$10:$AH$21,1),""))</f>
      </c>
      <c r="AG10" s="197">
        <f>IF(ISNUMBER(AC10)=TRUE,AC10,0)</f>
        <v>0</v>
      </c>
      <c r="AH10" s="68">
        <f>IF(ISNUMBER(AB10)=TRUE,AB10-AG10/100000-AI10/1000000000,"")</f>
      </c>
      <c r="AI10" s="68">
        <f>MAX(E10,J10,O10,T10,Y10)</f>
        <v>0</v>
      </c>
      <c r="AJ10" s="68">
        <f aca="true" t="shared" si="1" ref="AJ10:AJ21">IF(ISNUMBER(F10)=TRUE,F10,"")</f>
      </c>
      <c r="AK10" s="68">
        <f>IF(ISNUMBER(E10)=TRUE,E10,0)</f>
        <v>0</v>
      </c>
      <c r="AL10" s="68">
        <f aca="true" t="shared" si="2" ref="AL10:AL41">IF(ISNUMBER(AM10)=TRUE,RANK(AM10,$AM$10:$AM$69,1),"")</f>
      </c>
      <c r="AM10" s="68">
        <f aca="true" t="shared" si="3" ref="AM10:AM41">IF(ISNUMBER(AJ10)=TRUE,AJ10-AK10/100000,"")</f>
      </c>
    </row>
    <row r="11" spans="1:39" s="72" customFormat="1" ht="52.5" customHeight="1">
      <c r="A11" s="147">
        <f>IF(OR(ISNUMBER(D11)=TRUE,ISNUMBER(I11)=TRUE,ISNUMBER(N11)=TRUE,ISNUMBER(S11)=TRUE,ISNUMBER(X11)=TRUE),2,"")</f>
      </c>
      <c r="B11" s="161">
        <f>IF(ISBLANK('Prijava ekipa i izvlačenje br.'!C3)=TRUE,"",'Prijava ekipa i izvlačenje br.'!C3)</f>
      </c>
      <c r="C11" s="163">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c>
      <c r="D11" s="95">
        <f>IF(AND(ISNUMBER('Prijava ekipa i izvlačenje br.'!A3)=TRUE,ISNUMBER(E11)=TRUE),'Prijava ekipa i izvlačenje br.'!A3,IF(AND(ISNUMBER('Prijava ekipa i izvlačenje br.'!F3)=TRUE,COUNTIF('Prijava ekipa i izvlačenje br.'!$E3,"A")=1),'Prijava ekipa i izvlačenje br.'!F3,IF(AND(ISNUMBER('Prijava ekipa i izvlačenje br.'!I3)=TRUE,COUNTIF('Prijava ekipa i izvlačenje br.'!$H3,"A")=1),'Prijava ekipa i izvlačenje br.'!I3,IF(AND(ISNUMBER('Prijava ekipa i izvlačenje br.'!L3)=TRUE,COUNTIF('Prijava ekipa i izvlačenje br.'!$K3,"A")=1),'Prijava ekipa i izvlačenje br.'!L3,IF(AND(ISNUMBER('Prijava ekipa i izvlačenje br.'!O3)=TRUE,COUNTIF('Prijava ekipa i izvlačenje br.'!$N3,"A")=1),'Prijava ekipa i izvlačenje br.'!O3,IF(AND(ISNUMBER('Prijava ekipa i izvlačenje br.'!R3)=TRUE,COUNTIF('Prijava ekipa i izvlačenje br.'!$Q3,"A")=1),'Prijava ekipa i izvlačenje br.'!R3,""))))))</f>
      </c>
      <c r="E11" s="112">
        <f>IF(ISBLANK('Upis rezultata A sektora'!F3)=TRUE,"",'Upis rezultata A sektora'!F3)</f>
      </c>
      <c r="F11" s="112">
        <f>IF(ISBLANK('Upis rezultata A sektora'!B3)=TRUE,"",'Upis rezultata A sektora'!B3)</f>
      </c>
      <c r="G11" s="117">
        <f aca="true" t="shared" si="4" ref="G11:G21">IF(AND(ISNUMBER(AL11)=TRUE,ISNUMBER(E11)=TRUE),AL11,"")</f>
      </c>
      <c r="H11" s="157">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c>
      <c r="I11" s="95">
        <f>IF(AND(ISNUMBER('Prijava ekipa i izvlačenje br.'!A3)=TRUE,ISNUMBER(J11)=TRUE),'Prijava ekipa i izvlačenje br.'!A3,IF(AND(ISNUMBER('Prijava ekipa i izvlačenje br.'!F3)=TRUE,COUNTIF('Prijava ekipa i izvlačenje br.'!$E3,"B")=1),'Prijava ekipa i izvlačenje br.'!F3,IF(AND(ISNUMBER('Prijava ekipa i izvlačenje br.'!I3)=TRUE,COUNTIF('Prijava ekipa i izvlačenje br.'!$H3,"B")=1),'Prijava ekipa i izvlačenje br.'!I3,IF(AND(ISNUMBER('Prijava ekipa i izvlačenje br.'!L3)=TRUE,COUNTIF('Prijava ekipa i izvlačenje br.'!$K3,"B")=1),'Prijava ekipa i izvlačenje br.'!L3,IF(AND(ISNUMBER('Prijava ekipa i izvlačenje br.'!O3)=TRUE,COUNTIF('Prijava ekipa i izvlačenje br.'!$N3,"B")=1),'Prijava ekipa i izvlačenje br.'!O3,IF(AND(ISNUMBER('Prijava ekipa i izvlačenje br.'!R3)=TRUE,COUNTIF('Prijava ekipa i izvlačenje br.'!$Q3,"B")=1),'Prijava ekipa i izvlačenje br.'!R3,""))))))</f>
      </c>
      <c r="J11" s="112">
        <f>IF(ISBLANK('Upis rezultata B sektora'!F3)=TRUE,"",'Upis rezultata B sektora'!F3)</f>
      </c>
      <c r="K11" s="112">
        <f>IF(ISBLANK('Upis rezultata B sektora'!B3)=TRUE,"",'Upis rezultata B sektora'!B3)</f>
      </c>
      <c r="L11" s="158">
        <f aca="true" t="shared" si="5" ref="L11:L21">IF(AND(ISNUMBER(AL23)=TRUE,ISNUMBER(J11)=TRUE),AL23,"")</f>
      </c>
      <c r="M11" s="94">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c>
      <c r="N11" s="95">
        <f>IF(AND(ISNUMBER('Prijava ekipa i izvlačenje br.'!A3)=TRUE,ISNUMBER(O11)),'Prijava ekipa i izvlačenje br.'!A3,IF(AND(ISNUMBER('Prijava ekipa i izvlačenje br.'!F3)=TRUE,COUNTIF('Prijava ekipa i izvlačenje br.'!$E3,"C")=1),'Prijava ekipa i izvlačenje br.'!F3,IF(AND(ISNUMBER('Prijava ekipa i izvlačenje br.'!I3)=TRUE,COUNTIF('Prijava ekipa i izvlačenje br.'!$H3,"C")=1),'Prijava ekipa i izvlačenje br.'!I3,IF(AND(ISNUMBER('Prijava ekipa i izvlačenje br.'!L3)=TRUE,COUNTIF('Prijava ekipa i izvlačenje br.'!$K3,"C")=1),'Prijava ekipa i izvlačenje br.'!L3,IF(AND(ISNUMBER('Prijava ekipa i izvlačenje br.'!O3)=TRUE,COUNTIF('Prijava ekipa i izvlačenje br.'!$N3,"C")=1),'Prijava ekipa i izvlačenje br.'!O3,IF(AND(ISNUMBER('Prijava ekipa i izvlačenje br.'!R3)=TRUE,COUNTIF('Prijava ekipa i izvlačenje br.'!$Q3,"C")=1),'Prijava ekipa i izvlačenje br.'!R3,""))))))</f>
      </c>
      <c r="O11" s="112">
        <f>IF(ISBLANK('Upis rezultata C sektora'!F3)=TRUE,"",'Upis rezultata C sektora'!F3)</f>
      </c>
      <c r="P11" s="112">
        <f>IF(ISBLANK('Upis rezultata C sektora'!B3)=TRUE,"",'Upis rezultata C sektora'!B3)</f>
      </c>
      <c r="Q11" s="155">
        <f aca="true" t="shared" si="6" ref="Q11:Q21">IF(AND(ISNUMBER(AL35)=TRUE,ISNUMBER(O11)=TRUE),AL35,"")</f>
      </c>
      <c r="R11" s="157">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c>
      <c r="S11" s="95">
        <f>IF(AND(ISNUMBER('Prijava ekipa i izvlačenje br.'!A3)=TRUE,ISNUMBER(T11)=TRUE),'Prijava ekipa i izvlačenje br.'!A3,IF(AND(ISNUMBER('Prijava ekipa i izvlačenje br.'!F3)=TRUE,COUNTIF('Prijava ekipa i izvlačenje br.'!$E3,"D")=1),'Prijava ekipa i izvlačenje br.'!F3,IF(AND(ISNUMBER('Prijava ekipa i izvlačenje br.'!I3)=TRUE,COUNTIF('Prijava ekipa i izvlačenje br.'!$H3,"D")=1),'Prijava ekipa i izvlačenje br.'!I3,IF(AND(ISNUMBER('Prijava ekipa i izvlačenje br.'!L3)=TRUE,COUNTIF('Prijava ekipa i izvlačenje br.'!$K3,"D")=1),'Prijava ekipa i izvlačenje br.'!L3,IF(AND(ISNUMBER('Prijava ekipa i izvlačenje br.'!O3)=TRUE,COUNTIF('Prijava ekipa i izvlačenje br.'!$N3,"D")=1),'Prijava ekipa i izvlačenje br.'!O3,IF(AND(ISNUMBER('Prijava ekipa i izvlačenje br.'!R3)=TRUE,COUNTIF('Prijava ekipa i izvlačenje br.'!$Q3,"D")=1),'Prijava ekipa i izvlačenje br.'!R3,""))))))</f>
      </c>
      <c r="T11" s="112">
        <f>IF(ISBLANK('Upis rezultata D sektora'!F3)=TRUE,"",'Upis rezultata D sektora'!F3)</f>
      </c>
      <c r="U11" s="112">
        <f>IF(ISBLANK('Upis rezultata D sektora'!B3)=TRUE,"",'Upis rezultata D sektora'!B3)</f>
      </c>
      <c r="V11" s="158">
        <f aca="true" t="shared" si="7" ref="V11:V21">IF(AND(ISNUMBER(AL47)=TRUE,ISNUMBER(T11)=TRUE),AL47,"")</f>
      </c>
      <c r="W11" s="94">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c>
      <c r="X11" s="95">
        <f>IF(AND(ISNUMBER('Prijava ekipa i izvlačenje br.'!A3)=TRUE,ISNUMBER(Y11)=TRUE),'Prijava ekipa i izvlačenje br.'!A3,IF(AND(ISNUMBER('Prijava ekipa i izvlačenje br.'!F3)=TRUE,COUNTIF('Prijava ekipa i izvlačenje br.'!$E3,"E")=1),'Prijava ekipa i izvlačenje br.'!F3,IF(AND(ISNUMBER('Prijava ekipa i izvlačenje br.'!I3)=TRUE,COUNTIF('Prijava ekipa i izvlačenje br.'!$H3,"E")=1),'Prijava ekipa i izvlačenje br.'!I3,IF(AND(ISNUMBER('Prijava ekipa i izvlačenje br.'!L3)=TRUE,COUNTIF('Prijava ekipa i izvlačenje br.'!$K3,"E")=1),'Prijava ekipa i izvlačenje br.'!L3,IF(AND(ISNUMBER('Prijava ekipa i izvlačenje br.'!O3)=TRUE,COUNTIF('Prijava ekipa i izvlačenje br.'!$N3,"E")=1),'Prijava ekipa i izvlačenje br.'!O3,IF(AND(ISNUMBER('Prijava ekipa i izvlačenje br.'!R3)=TRUE,COUNTIF('Prijava ekipa i izvlačenje br.'!$Q3,"E")=1),'Prijava ekipa i izvlačenje br.'!R3,""))))))</f>
      </c>
      <c r="Y11" s="112">
        <f>IF(ISBLANK('Upis rezultata E sektora'!F3)=TRUE,"",'Upis rezultata E sektora'!F3)</f>
      </c>
      <c r="Z11" s="112">
        <f>IF(ISBLANK('Upis rezultata E sektora'!B3)=TRUE,"",'Upis rezultata E sektora'!B3)</f>
      </c>
      <c r="AA11" s="117">
        <f aca="true" t="shared" si="8" ref="AA11:AA21">IF(AND(ISNUMBER(AL59)=TRUE,ISNUMBER(Y11)=TRUE),AL59,"")</f>
      </c>
      <c r="AB11" s="113">
        <f aca="true" t="shared" si="9" ref="AB11:AB21">IF(OR(ISNUMBER(F11)=TRUE,ISNUMBER(K11)=TRUE,ISNUMBER(P11)=TRUE,ISNUMBER(U11)=TRUE,ISNUMBER(Z11)=TRUE),SUM(F11,K11,P11,U11,Z11),"")</f>
      </c>
      <c r="AC11" s="112">
        <f aca="true" t="shared" si="10" ref="AC11:AC21">IF(ISNUMBER(AB11)=FALSE,"",IF(AND(ISNUMBER(AB11)=TRUE,ISNUMBER(E11)=FALSE,ISNUMBER(J11)=FALSE,ISNUMBER(O11)=FALSE,ISNUMBER(T11)=FALSE,ISNUMBER(Y11)=FALSE),"",SUM(E11,J11,O11,T11,Y11)))</f>
      </c>
      <c r="AD11" s="148">
        <f t="shared" si="0"/>
      </c>
      <c r="AG11" s="197">
        <f aca="true" t="shared" si="11" ref="AG11:AG21">IF(ISNUMBER(AC11)=TRUE,AC11,0)</f>
        <v>0</v>
      </c>
      <c r="AH11" s="68">
        <f aca="true" t="shared" si="12" ref="AH11:AH21">IF(ISNUMBER(AB11)=TRUE,AB11-AG11/100000-AI11/1000000000,"")</f>
      </c>
      <c r="AI11" s="68">
        <f aca="true" t="shared" si="13" ref="AI11:AI21">MAX(E11,J11,O11,T11,Y11)</f>
        <v>0</v>
      </c>
      <c r="AJ11" s="68">
        <f t="shared" si="1"/>
      </c>
      <c r="AK11" s="68">
        <f aca="true" t="shared" si="14" ref="AK11:AK21">IF(ISNUMBER(E11)=TRUE,E11,0)</f>
        <v>0</v>
      </c>
      <c r="AL11" s="68">
        <f t="shared" si="2"/>
      </c>
      <c r="AM11" s="68">
        <f t="shared" si="3"/>
      </c>
    </row>
    <row r="12" spans="1:39" s="72" customFormat="1" ht="52.5" customHeight="1">
      <c r="A12" s="147">
        <f>IF(OR(ISNUMBER(D12)=TRUE,ISNUMBER(I12)=TRUE,ISNUMBER(N12)=TRUE,ISNUMBER(S12)=TRUE,ISNUMBER(X12)=TRUE),3,"")</f>
      </c>
      <c r="B12" s="161">
        <f>IF(ISBLANK('Prijava ekipa i izvlačenje br.'!C4)=TRUE,"",'Prijava ekipa i izvlačenje br.'!C4)</f>
      </c>
      <c r="C12" s="163">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c>
      <c r="D12" s="95">
        <f>IF(AND(ISNUMBER('Prijava ekipa i izvlačenje br.'!A4)=TRUE,ISNUMBER(E12)=TRUE),'Prijava ekipa i izvlačenje br.'!A4,IF(AND(ISNUMBER('Prijava ekipa i izvlačenje br.'!F4)=TRUE,COUNTIF('Prijava ekipa i izvlačenje br.'!$E4,"A")=1),'Prijava ekipa i izvlačenje br.'!F4,IF(AND(ISNUMBER('Prijava ekipa i izvlačenje br.'!I4)=TRUE,COUNTIF('Prijava ekipa i izvlačenje br.'!$H4,"A")=1),'Prijava ekipa i izvlačenje br.'!I4,IF(AND(ISNUMBER('Prijava ekipa i izvlačenje br.'!L4)=TRUE,COUNTIF('Prijava ekipa i izvlačenje br.'!$K4,"A")=1),'Prijava ekipa i izvlačenje br.'!L4,IF(AND(ISNUMBER('Prijava ekipa i izvlačenje br.'!O4)=TRUE,COUNTIF('Prijava ekipa i izvlačenje br.'!$N4,"A")=1),'Prijava ekipa i izvlačenje br.'!O4,IF(AND(ISNUMBER('Prijava ekipa i izvlačenje br.'!R4)=TRUE,COUNTIF('Prijava ekipa i izvlačenje br.'!$Q4,"A")=1),'Prijava ekipa i izvlačenje br.'!R4,""))))))</f>
      </c>
      <c r="E12" s="112">
        <f>IF(ISBLANK('Upis rezultata A sektora'!F4)=TRUE,"",'Upis rezultata A sektora'!F4)</f>
      </c>
      <c r="F12" s="112">
        <f>IF(ISBLANK('Upis rezultata A sektora'!B4)=TRUE,"",'Upis rezultata A sektora'!B4)</f>
      </c>
      <c r="G12" s="117">
        <f t="shared" si="4"/>
      </c>
      <c r="H12" s="157">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c>
      <c r="I12" s="95">
        <f>IF(AND(ISNUMBER('Prijava ekipa i izvlačenje br.'!A4)=TRUE,ISNUMBER(J12)=TRUE),'Prijava ekipa i izvlačenje br.'!A4,IF(AND(ISNUMBER('Prijava ekipa i izvlačenje br.'!F4)=TRUE,COUNTIF('Prijava ekipa i izvlačenje br.'!$E4,"B")=1),'Prijava ekipa i izvlačenje br.'!F4,IF(AND(ISNUMBER('Prijava ekipa i izvlačenje br.'!I4)=TRUE,COUNTIF('Prijava ekipa i izvlačenje br.'!$H4,"B")=1),'Prijava ekipa i izvlačenje br.'!I4,IF(AND(ISNUMBER('Prijava ekipa i izvlačenje br.'!L4)=TRUE,COUNTIF('Prijava ekipa i izvlačenje br.'!$K4,"B")=1),'Prijava ekipa i izvlačenje br.'!L4,IF(AND(ISNUMBER('Prijava ekipa i izvlačenje br.'!O4)=TRUE,COUNTIF('Prijava ekipa i izvlačenje br.'!$N4,"B")=1),'Prijava ekipa i izvlačenje br.'!O4,IF(AND(ISNUMBER('Prijava ekipa i izvlačenje br.'!R4)=TRUE,COUNTIF('Prijava ekipa i izvlačenje br.'!$Q4,"B")=1),'Prijava ekipa i izvlačenje br.'!R4,""))))))</f>
      </c>
      <c r="J12" s="112">
        <f>IF(ISBLANK('Upis rezultata B sektora'!F4)=TRUE,"",'Upis rezultata B sektora'!F4)</f>
      </c>
      <c r="K12" s="112">
        <f>IF(ISBLANK('Upis rezultata B sektora'!B4)=TRUE,"",'Upis rezultata B sektora'!B4)</f>
      </c>
      <c r="L12" s="158">
        <f t="shared" si="5"/>
      </c>
      <c r="M12" s="94">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c>
      <c r="N12" s="95">
        <f>IF(AND(ISNUMBER('Prijava ekipa i izvlačenje br.'!A4)=TRUE,ISNUMBER(O12)),'Prijava ekipa i izvlačenje br.'!A4,IF(AND(ISNUMBER('Prijava ekipa i izvlačenje br.'!F4)=TRUE,COUNTIF('Prijava ekipa i izvlačenje br.'!$E4,"C")=1),'Prijava ekipa i izvlačenje br.'!F4,IF(AND(ISNUMBER('Prijava ekipa i izvlačenje br.'!I4)=TRUE,COUNTIF('Prijava ekipa i izvlačenje br.'!$H4,"C")=1),'Prijava ekipa i izvlačenje br.'!I4,IF(AND(ISNUMBER('Prijava ekipa i izvlačenje br.'!L4)=TRUE,COUNTIF('Prijava ekipa i izvlačenje br.'!$K4,"C")=1),'Prijava ekipa i izvlačenje br.'!L4,IF(AND(ISNUMBER('Prijava ekipa i izvlačenje br.'!O4)=TRUE,COUNTIF('Prijava ekipa i izvlačenje br.'!$N4,"C")=1),'Prijava ekipa i izvlačenje br.'!O4,IF(AND(ISNUMBER('Prijava ekipa i izvlačenje br.'!R4)=TRUE,COUNTIF('Prijava ekipa i izvlačenje br.'!$Q4,"C")=1),'Prijava ekipa i izvlačenje br.'!R4,""))))))</f>
      </c>
      <c r="O12" s="112">
        <f>IF(ISBLANK('Upis rezultata C sektora'!F4)=TRUE,"",'Upis rezultata C sektora'!F4)</f>
      </c>
      <c r="P12" s="112">
        <f>IF(ISBLANK('Upis rezultata C sektora'!B4)=TRUE,"",'Upis rezultata C sektora'!B4)</f>
      </c>
      <c r="Q12" s="155">
        <f t="shared" si="6"/>
      </c>
      <c r="R12" s="157">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c>
      <c r="S12" s="95">
        <f>IF(AND(ISNUMBER('Prijava ekipa i izvlačenje br.'!A4)=TRUE,ISNUMBER(T12)=TRUE),'Prijava ekipa i izvlačenje br.'!A4,IF(AND(ISNUMBER('Prijava ekipa i izvlačenje br.'!F4)=TRUE,COUNTIF('Prijava ekipa i izvlačenje br.'!$E4,"D")=1),'Prijava ekipa i izvlačenje br.'!F4,IF(AND(ISNUMBER('Prijava ekipa i izvlačenje br.'!I4)=TRUE,COUNTIF('Prijava ekipa i izvlačenje br.'!$H4,"D")=1),'Prijava ekipa i izvlačenje br.'!I4,IF(AND(ISNUMBER('Prijava ekipa i izvlačenje br.'!L4)=TRUE,COUNTIF('Prijava ekipa i izvlačenje br.'!$K4,"D")=1),'Prijava ekipa i izvlačenje br.'!L4,IF(AND(ISNUMBER('Prijava ekipa i izvlačenje br.'!O4)=TRUE,COUNTIF('Prijava ekipa i izvlačenje br.'!$N4,"D")=1),'Prijava ekipa i izvlačenje br.'!O4,IF(AND(ISNUMBER('Prijava ekipa i izvlačenje br.'!R4)=TRUE,COUNTIF('Prijava ekipa i izvlačenje br.'!$Q4,"D")=1),'Prijava ekipa i izvlačenje br.'!R4,""))))))</f>
      </c>
      <c r="T12" s="112">
        <f>IF(ISBLANK('Upis rezultata D sektora'!F4)=TRUE,"",'Upis rezultata D sektora'!F4)</f>
      </c>
      <c r="U12" s="112">
        <f>IF(ISBLANK('Upis rezultata D sektora'!B4)=TRUE,"",'Upis rezultata D sektora'!B4)</f>
      </c>
      <c r="V12" s="158">
        <f t="shared" si="7"/>
      </c>
      <c r="W12" s="94">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c>
      <c r="X12" s="95">
        <f>IF(AND(ISNUMBER('Prijava ekipa i izvlačenje br.'!A4)=TRUE,ISNUMBER(Y12)=TRUE),'Prijava ekipa i izvlačenje br.'!A4,IF(AND(ISNUMBER('Prijava ekipa i izvlačenje br.'!F4)=TRUE,COUNTIF('Prijava ekipa i izvlačenje br.'!$E4,"E")=1),'Prijava ekipa i izvlačenje br.'!F4,IF(AND(ISNUMBER('Prijava ekipa i izvlačenje br.'!I4)=TRUE,COUNTIF('Prijava ekipa i izvlačenje br.'!$H4,"E")=1),'Prijava ekipa i izvlačenje br.'!I4,IF(AND(ISNUMBER('Prijava ekipa i izvlačenje br.'!L4)=TRUE,COUNTIF('Prijava ekipa i izvlačenje br.'!$K4,"E")=1),'Prijava ekipa i izvlačenje br.'!L4,IF(AND(ISNUMBER('Prijava ekipa i izvlačenje br.'!O4)=TRUE,COUNTIF('Prijava ekipa i izvlačenje br.'!$N4,"E")=1),'Prijava ekipa i izvlačenje br.'!O4,IF(AND(ISNUMBER('Prijava ekipa i izvlačenje br.'!R4)=TRUE,COUNTIF('Prijava ekipa i izvlačenje br.'!$Q4,"E")=1),'Prijava ekipa i izvlačenje br.'!R4,""))))))</f>
      </c>
      <c r="Y12" s="112">
        <f>IF(ISBLANK('Upis rezultata E sektora'!F4)=TRUE,"",'Upis rezultata E sektora'!F4)</f>
      </c>
      <c r="Z12" s="112">
        <f>IF(ISBLANK('Upis rezultata E sektora'!B4)=TRUE,"",'Upis rezultata E sektora'!B4)</f>
      </c>
      <c r="AA12" s="117">
        <f t="shared" si="8"/>
      </c>
      <c r="AB12" s="113">
        <f t="shared" si="9"/>
      </c>
      <c r="AC12" s="112">
        <f t="shared" si="10"/>
      </c>
      <c r="AD12" s="148">
        <f t="shared" si="0"/>
      </c>
      <c r="AG12" s="197">
        <f t="shared" si="11"/>
        <v>0</v>
      </c>
      <c r="AH12" s="68">
        <f t="shared" si="12"/>
      </c>
      <c r="AI12" s="68">
        <f t="shared" si="13"/>
        <v>0</v>
      </c>
      <c r="AJ12" s="68">
        <f t="shared" si="1"/>
      </c>
      <c r="AK12" s="68">
        <f t="shared" si="14"/>
        <v>0</v>
      </c>
      <c r="AL12" s="68">
        <f t="shared" si="2"/>
      </c>
      <c r="AM12" s="68">
        <f t="shared" si="3"/>
      </c>
    </row>
    <row r="13" spans="1:39" s="72" customFormat="1" ht="52.5" customHeight="1">
      <c r="A13" s="147">
        <f>IF(OR(ISNUMBER(D13)=TRUE,ISNUMBER(I13)=TRUE,ISNUMBER(N13)=TRUE,ISNUMBER(S13)=TRUE,ISNUMBER(X13)=TRUE),4,"")</f>
      </c>
      <c r="B13" s="161">
        <f>IF(ISBLANK('Prijava ekipa i izvlačenje br.'!C5)=TRUE,"",'Prijava ekipa i izvlačenje br.'!C5)</f>
      </c>
      <c r="C13" s="163">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c>
      <c r="D13" s="95">
        <f>IF(AND(ISNUMBER('Prijava ekipa i izvlačenje br.'!A5)=TRUE,ISNUMBER(E13)=TRUE),'Prijava ekipa i izvlačenje br.'!A5,IF(AND(ISNUMBER('Prijava ekipa i izvlačenje br.'!F5)=TRUE,COUNTIF('Prijava ekipa i izvlačenje br.'!$E5,"A")=1),'Prijava ekipa i izvlačenje br.'!F5,IF(AND(ISNUMBER('Prijava ekipa i izvlačenje br.'!I5)=TRUE,COUNTIF('Prijava ekipa i izvlačenje br.'!$H5,"A")=1),'Prijava ekipa i izvlačenje br.'!I5,IF(AND(ISNUMBER('Prijava ekipa i izvlačenje br.'!L5)=TRUE,COUNTIF('Prijava ekipa i izvlačenje br.'!$K5,"A")=1),'Prijava ekipa i izvlačenje br.'!L5,IF(AND(ISNUMBER('Prijava ekipa i izvlačenje br.'!O5)=TRUE,COUNTIF('Prijava ekipa i izvlačenje br.'!$N5,"A")=1),'Prijava ekipa i izvlačenje br.'!O5,IF(AND(ISNUMBER('Prijava ekipa i izvlačenje br.'!R5)=TRUE,COUNTIF('Prijava ekipa i izvlačenje br.'!$Q5,"A")=1),'Prijava ekipa i izvlačenje br.'!R5,""))))))</f>
      </c>
      <c r="E13" s="112">
        <f>IF(ISBLANK('Upis rezultata A sektora'!F5)=TRUE,"",'Upis rezultata A sektora'!F5)</f>
      </c>
      <c r="F13" s="112">
        <f>IF(ISBLANK('Upis rezultata A sektora'!B5)=TRUE,"",'Upis rezultata A sektora'!B5)</f>
      </c>
      <c r="G13" s="117">
        <f t="shared" si="4"/>
      </c>
      <c r="H13" s="157">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c>
      <c r="I13" s="95">
        <f>IF(AND(ISNUMBER('Prijava ekipa i izvlačenje br.'!A5)=TRUE,ISNUMBER(J13)=TRUE),'Prijava ekipa i izvlačenje br.'!A5,IF(AND(ISNUMBER('Prijava ekipa i izvlačenje br.'!F5)=TRUE,COUNTIF('Prijava ekipa i izvlačenje br.'!$E5,"B")=1),'Prijava ekipa i izvlačenje br.'!F5,IF(AND(ISNUMBER('Prijava ekipa i izvlačenje br.'!I5)=TRUE,COUNTIF('Prijava ekipa i izvlačenje br.'!$H5,"B")=1),'Prijava ekipa i izvlačenje br.'!I5,IF(AND(ISNUMBER('Prijava ekipa i izvlačenje br.'!L5)=TRUE,COUNTIF('Prijava ekipa i izvlačenje br.'!$K5,"B")=1),'Prijava ekipa i izvlačenje br.'!L5,IF(AND(ISNUMBER('Prijava ekipa i izvlačenje br.'!O5)=TRUE,COUNTIF('Prijava ekipa i izvlačenje br.'!$N5,"B")=1),'Prijava ekipa i izvlačenje br.'!O5,IF(AND(ISNUMBER('Prijava ekipa i izvlačenje br.'!R5)=TRUE,COUNTIF('Prijava ekipa i izvlačenje br.'!$Q5,"B")=1),'Prijava ekipa i izvlačenje br.'!R5,""))))))</f>
      </c>
      <c r="J13" s="112">
        <f>IF(ISBLANK('Upis rezultata B sektora'!F5)=TRUE,"",'Upis rezultata B sektora'!F5)</f>
      </c>
      <c r="K13" s="112">
        <f>IF(ISBLANK('Upis rezultata B sektora'!B5)=TRUE,"",'Upis rezultata B sektora'!B5)</f>
      </c>
      <c r="L13" s="158">
        <f t="shared" si="5"/>
      </c>
      <c r="M13" s="94">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c>
      <c r="N13" s="95">
        <f>IF(AND(ISNUMBER('Prijava ekipa i izvlačenje br.'!A5)=TRUE,ISNUMBER(O13)),'Prijava ekipa i izvlačenje br.'!A5,IF(AND(ISNUMBER('Prijava ekipa i izvlačenje br.'!F5)=TRUE,COUNTIF('Prijava ekipa i izvlačenje br.'!$E5,"C")=1),'Prijava ekipa i izvlačenje br.'!F5,IF(AND(ISNUMBER('Prijava ekipa i izvlačenje br.'!I5)=TRUE,COUNTIF('Prijava ekipa i izvlačenje br.'!$H5,"C")=1),'Prijava ekipa i izvlačenje br.'!I5,IF(AND(ISNUMBER('Prijava ekipa i izvlačenje br.'!L5)=TRUE,COUNTIF('Prijava ekipa i izvlačenje br.'!$K5,"C")=1),'Prijava ekipa i izvlačenje br.'!L5,IF(AND(ISNUMBER('Prijava ekipa i izvlačenje br.'!O5)=TRUE,COUNTIF('Prijava ekipa i izvlačenje br.'!$N5,"C")=1),'Prijava ekipa i izvlačenje br.'!O5,IF(AND(ISNUMBER('Prijava ekipa i izvlačenje br.'!R5)=TRUE,COUNTIF('Prijava ekipa i izvlačenje br.'!$Q5,"C")=1),'Prijava ekipa i izvlačenje br.'!R5,""))))))</f>
      </c>
      <c r="O13" s="112">
        <f>IF(ISBLANK('Upis rezultata C sektora'!F5)=TRUE,"",'Upis rezultata C sektora'!F5)</f>
      </c>
      <c r="P13" s="112">
        <f>IF(ISBLANK('Upis rezultata C sektora'!B5)=TRUE,"",'Upis rezultata C sektora'!B5)</f>
      </c>
      <c r="Q13" s="155">
        <f t="shared" si="6"/>
      </c>
      <c r="R13" s="157">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c>
      <c r="S13" s="95">
        <f>IF(AND(ISNUMBER('Prijava ekipa i izvlačenje br.'!A5)=TRUE,ISNUMBER(T13)=TRUE),'Prijava ekipa i izvlačenje br.'!A5,IF(AND(ISNUMBER('Prijava ekipa i izvlačenje br.'!F5)=TRUE,COUNTIF('Prijava ekipa i izvlačenje br.'!$E5,"D")=1),'Prijava ekipa i izvlačenje br.'!F5,IF(AND(ISNUMBER('Prijava ekipa i izvlačenje br.'!I5)=TRUE,COUNTIF('Prijava ekipa i izvlačenje br.'!$H5,"D")=1),'Prijava ekipa i izvlačenje br.'!I5,IF(AND(ISNUMBER('Prijava ekipa i izvlačenje br.'!L5)=TRUE,COUNTIF('Prijava ekipa i izvlačenje br.'!$K5,"D")=1),'Prijava ekipa i izvlačenje br.'!L5,IF(AND(ISNUMBER('Prijava ekipa i izvlačenje br.'!O5)=TRUE,COUNTIF('Prijava ekipa i izvlačenje br.'!$N5,"D")=1),'Prijava ekipa i izvlačenje br.'!O5,IF(AND(ISNUMBER('Prijava ekipa i izvlačenje br.'!R5)=TRUE,COUNTIF('Prijava ekipa i izvlačenje br.'!$Q5,"D")=1),'Prijava ekipa i izvlačenje br.'!R5,""))))))</f>
      </c>
      <c r="T13" s="112">
        <f>IF(ISBLANK('Upis rezultata D sektora'!F5)=TRUE,"",'Upis rezultata D sektora'!F5)</f>
      </c>
      <c r="U13" s="112">
        <f>IF(ISBLANK('Upis rezultata D sektora'!B5)=TRUE,"",'Upis rezultata D sektora'!B5)</f>
      </c>
      <c r="V13" s="158">
        <f t="shared" si="7"/>
      </c>
      <c r="W13" s="94">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c>
      <c r="X13" s="95">
        <f>IF(AND(ISNUMBER('Prijava ekipa i izvlačenje br.'!A5)=TRUE,ISNUMBER(Y13)=TRUE),'Prijava ekipa i izvlačenje br.'!A5,IF(AND(ISNUMBER('Prijava ekipa i izvlačenje br.'!F5)=TRUE,COUNTIF('Prijava ekipa i izvlačenje br.'!$E5,"E")=1),'Prijava ekipa i izvlačenje br.'!F5,IF(AND(ISNUMBER('Prijava ekipa i izvlačenje br.'!I5)=TRUE,COUNTIF('Prijava ekipa i izvlačenje br.'!$H5,"E")=1),'Prijava ekipa i izvlačenje br.'!I5,IF(AND(ISNUMBER('Prijava ekipa i izvlačenje br.'!L5)=TRUE,COUNTIF('Prijava ekipa i izvlačenje br.'!$K5,"E")=1),'Prijava ekipa i izvlačenje br.'!L5,IF(AND(ISNUMBER('Prijava ekipa i izvlačenje br.'!O5)=TRUE,COUNTIF('Prijava ekipa i izvlačenje br.'!$N5,"E")=1),'Prijava ekipa i izvlačenje br.'!O5,IF(AND(ISNUMBER('Prijava ekipa i izvlačenje br.'!R5)=TRUE,COUNTIF('Prijava ekipa i izvlačenje br.'!$Q5,"E")=1),'Prijava ekipa i izvlačenje br.'!R5,""))))))</f>
      </c>
      <c r="Y13" s="112">
        <f>IF(ISBLANK('Upis rezultata E sektora'!F5)=TRUE,"",'Upis rezultata E sektora'!F5)</f>
      </c>
      <c r="Z13" s="112">
        <f>IF(ISBLANK('Upis rezultata E sektora'!B5)=TRUE,"",'Upis rezultata E sektora'!B5)</f>
      </c>
      <c r="AA13" s="117">
        <f t="shared" si="8"/>
      </c>
      <c r="AB13" s="113">
        <f t="shared" si="9"/>
      </c>
      <c r="AC13" s="112">
        <f t="shared" si="10"/>
      </c>
      <c r="AD13" s="148">
        <f t="shared" si="0"/>
      </c>
      <c r="AG13" s="197">
        <f t="shared" si="11"/>
        <v>0</v>
      </c>
      <c r="AH13" s="68">
        <f t="shared" si="12"/>
      </c>
      <c r="AI13" s="68">
        <f t="shared" si="13"/>
        <v>0</v>
      </c>
      <c r="AJ13" s="68">
        <f t="shared" si="1"/>
      </c>
      <c r="AK13" s="68">
        <f t="shared" si="14"/>
        <v>0</v>
      </c>
      <c r="AL13" s="68">
        <f t="shared" si="2"/>
      </c>
      <c r="AM13" s="68">
        <f t="shared" si="3"/>
      </c>
    </row>
    <row r="14" spans="1:39" s="72" customFormat="1" ht="52.5" customHeight="1">
      <c r="A14" s="147">
        <f>IF(OR(ISNUMBER(D14)=TRUE,ISNUMBER(I14)=TRUE,ISNUMBER(N14)=TRUE,ISNUMBER(S14)=TRUE,ISNUMBER(X14)=TRUE),5,"")</f>
      </c>
      <c r="B14" s="161">
        <f>IF(ISBLANK('Prijava ekipa i izvlačenje br.'!C6)=TRUE,"",'Prijava ekipa i izvlačenje br.'!C6)</f>
      </c>
      <c r="C14" s="163">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c>
      <c r="D14" s="95">
        <f>IF(AND(ISNUMBER('Prijava ekipa i izvlačenje br.'!A6)=TRUE,ISNUMBER(E14)=TRUE),'Prijava ekipa i izvlačenje br.'!A6,IF(AND(ISNUMBER('Prijava ekipa i izvlačenje br.'!F6)=TRUE,COUNTIF('Prijava ekipa i izvlačenje br.'!$E6,"A")=1),'Prijava ekipa i izvlačenje br.'!F6,IF(AND(ISNUMBER('Prijava ekipa i izvlačenje br.'!I6)=TRUE,COUNTIF('Prijava ekipa i izvlačenje br.'!$H6,"A")=1),'Prijava ekipa i izvlačenje br.'!I6,IF(AND(ISNUMBER('Prijava ekipa i izvlačenje br.'!L6)=TRUE,COUNTIF('Prijava ekipa i izvlačenje br.'!$K6,"A")=1),'Prijava ekipa i izvlačenje br.'!L6,IF(AND(ISNUMBER('Prijava ekipa i izvlačenje br.'!O6)=TRUE,COUNTIF('Prijava ekipa i izvlačenje br.'!$N6,"A")=1),'Prijava ekipa i izvlačenje br.'!O6,IF(AND(ISNUMBER('Prijava ekipa i izvlačenje br.'!R6)=TRUE,COUNTIF('Prijava ekipa i izvlačenje br.'!$Q6,"A")=1),'Prijava ekipa i izvlačenje br.'!R6,""))))))</f>
      </c>
      <c r="E14" s="112">
        <f>IF(ISBLANK('Upis rezultata A sektora'!F6)=TRUE,"",'Upis rezultata A sektora'!F6)</f>
      </c>
      <c r="F14" s="112">
        <f>IF(ISBLANK('Upis rezultata A sektora'!B6)=TRUE,"",'Upis rezultata A sektora'!B6)</f>
      </c>
      <c r="G14" s="117">
        <f t="shared" si="4"/>
      </c>
      <c r="H14" s="157">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c>
      <c r="I14" s="95">
        <f>IF(AND(ISNUMBER('Prijava ekipa i izvlačenje br.'!A6)=TRUE,ISNUMBER(J14)=TRUE),'Prijava ekipa i izvlačenje br.'!A6,IF(AND(ISNUMBER('Prijava ekipa i izvlačenje br.'!F6)=TRUE,COUNTIF('Prijava ekipa i izvlačenje br.'!$E6,"B")=1),'Prijava ekipa i izvlačenje br.'!F6,IF(AND(ISNUMBER('Prijava ekipa i izvlačenje br.'!I6)=TRUE,COUNTIF('Prijava ekipa i izvlačenje br.'!$H6,"B")=1),'Prijava ekipa i izvlačenje br.'!I6,IF(AND(ISNUMBER('Prijava ekipa i izvlačenje br.'!L6)=TRUE,COUNTIF('Prijava ekipa i izvlačenje br.'!$K6,"B")=1),'Prijava ekipa i izvlačenje br.'!L6,IF(AND(ISNUMBER('Prijava ekipa i izvlačenje br.'!O6)=TRUE,COUNTIF('Prijava ekipa i izvlačenje br.'!$N6,"B")=1),'Prijava ekipa i izvlačenje br.'!O6,IF(AND(ISNUMBER('Prijava ekipa i izvlačenje br.'!R6)=TRUE,COUNTIF('Prijava ekipa i izvlačenje br.'!$Q6,"B")=1),'Prijava ekipa i izvlačenje br.'!R6,""))))))</f>
      </c>
      <c r="J14" s="112">
        <f>IF(ISBLANK('Upis rezultata B sektora'!F6)=TRUE,"",'Upis rezultata B sektora'!F6)</f>
      </c>
      <c r="K14" s="112">
        <f>IF(ISBLANK('Upis rezultata B sektora'!B6)=TRUE,"",'Upis rezultata B sektora'!B6)</f>
      </c>
      <c r="L14" s="158">
        <f t="shared" si="5"/>
      </c>
      <c r="M14" s="94">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c>
      <c r="N14" s="95">
        <f>IF(AND(ISNUMBER('Prijava ekipa i izvlačenje br.'!A6)=TRUE,ISNUMBER(O14)),'Prijava ekipa i izvlačenje br.'!A6,IF(AND(ISNUMBER('Prijava ekipa i izvlačenje br.'!F6)=TRUE,COUNTIF('Prijava ekipa i izvlačenje br.'!$E6,"C")=1),'Prijava ekipa i izvlačenje br.'!F6,IF(AND(ISNUMBER('Prijava ekipa i izvlačenje br.'!I6)=TRUE,COUNTIF('Prijava ekipa i izvlačenje br.'!$H6,"C")=1),'Prijava ekipa i izvlačenje br.'!I6,IF(AND(ISNUMBER('Prijava ekipa i izvlačenje br.'!L6)=TRUE,COUNTIF('Prijava ekipa i izvlačenje br.'!$K6,"C")=1),'Prijava ekipa i izvlačenje br.'!L6,IF(AND(ISNUMBER('Prijava ekipa i izvlačenje br.'!O6)=TRUE,COUNTIF('Prijava ekipa i izvlačenje br.'!$N6,"C")=1),'Prijava ekipa i izvlačenje br.'!O6,IF(AND(ISNUMBER('Prijava ekipa i izvlačenje br.'!R6)=TRUE,COUNTIF('Prijava ekipa i izvlačenje br.'!$Q6,"C")=1),'Prijava ekipa i izvlačenje br.'!R6,""))))))</f>
      </c>
      <c r="O14" s="112">
        <f>IF(ISBLANK('Upis rezultata C sektora'!F6)=TRUE,"",'Upis rezultata C sektora'!F6)</f>
      </c>
      <c r="P14" s="112">
        <f>IF(ISBLANK('Upis rezultata C sektora'!B6)=TRUE,"",'Upis rezultata C sektora'!B6)</f>
      </c>
      <c r="Q14" s="155">
        <f t="shared" si="6"/>
      </c>
      <c r="R14" s="157">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c>
      <c r="S14" s="95">
        <f>IF(AND(ISNUMBER('Prijava ekipa i izvlačenje br.'!A6)=TRUE,ISNUMBER(T14)=TRUE),'Prijava ekipa i izvlačenje br.'!A6,IF(AND(ISNUMBER('Prijava ekipa i izvlačenje br.'!F6)=TRUE,COUNTIF('Prijava ekipa i izvlačenje br.'!$E6,"D")=1),'Prijava ekipa i izvlačenje br.'!F6,IF(AND(ISNUMBER('Prijava ekipa i izvlačenje br.'!I6)=TRUE,COUNTIF('Prijava ekipa i izvlačenje br.'!$H6,"D")=1),'Prijava ekipa i izvlačenje br.'!I6,IF(AND(ISNUMBER('Prijava ekipa i izvlačenje br.'!L6)=TRUE,COUNTIF('Prijava ekipa i izvlačenje br.'!$K6,"D")=1),'Prijava ekipa i izvlačenje br.'!L6,IF(AND(ISNUMBER('Prijava ekipa i izvlačenje br.'!O6)=TRUE,COUNTIF('Prijava ekipa i izvlačenje br.'!$N6,"D")=1),'Prijava ekipa i izvlačenje br.'!O6,IF(AND(ISNUMBER('Prijava ekipa i izvlačenje br.'!R6)=TRUE,COUNTIF('Prijava ekipa i izvlačenje br.'!$Q6,"D")=1),'Prijava ekipa i izvlačenje br.'!R6,""))))))</f>
      </c>
      <c r="T14" s="112">
        <f>IF(ISBLANK('Upis rezultata D sektora'!F6)=TRUE,"",'Upis rezultata D sektora'!F6)</f>
      </c>
      <c r="U14" s="112">
        <f>IF(ISBLANK('Upis rezultata D sektora'!B6)=TRUE,"",'Upis rezultata D sektora'!B6)</f>
      </c>
      <c r="V14" s="158">
        <f t="shared" si="7"/>
      </c>
      <c r="W14" s="94">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c>
      <c r="X14" s="95">
        <f>IF(AND(ISNUMBER('Prijava ekipa i izvlačenje br.'!A6)=TRUE,ISNUMBER(Y14)=TRUE),'Prijava ekipa i izvlačenje br.'!A6,IF(AND(ISNUMBER('Prijava ekipa i izvlačenje br.'!F6)=TRUE,COUNTIF('Prijava ekipa i izvlačenje br.'!$E6,"E")=1),'Prijava ekipa i izvlačenje br.'!F6,IF(AND(ISNUMBER('Prijava ekipa i izvlačenje br.'!I6)=TRUE,COUNTIF('Prijava ekipa i izvlačenje br.'!$H6,"E")=1),'Prijava ekipa i izvlačenje br.'!I6,IF(AND(ISNUMBER('Prijava ekipa i izvlačenje br.'!L6)=TRUE,COUNTIF('Prijava ekipa i izvlačenje br.'!$K6,"E")=1),'Prijava ekipa i izvlačenje br.'!L6,IF(AND(ISNUMBER('Prijava ekipa i izvlačenje br.'!O6)=TRUE,COUNTIF('Prijava ekipa i izvlačenje br.'!$N6,"E")=1),'Prijava ekipa i izvlačenje br.'!O6,IF(AND(ISNUMBER('Prijava ekipa i izvlačenje br.'!R6)=TRUE,COUNTIF('Prijava ekipa i izvlačenje br.'!$Q6,"E")=1),'Prijava ekipa i izvlačenje br.'!R6,""))))))</f>
      </c>
      <c r="Y14" s="112">
        <f>IF(ISBLANK('Upis rezultata E sektora'!F6)=TRUE,"",'Upis rezultata E sektora'!F6)</f>
      </c>
      <c r="Z14" s="112">
        <f>IF(ISBLANK('Upis rezultata E sektora'!B6)=TRUE,"",'Upis rezultata E sektora'!B6)</f>
      </c>
      <c r="AA14" s="117">
        <f t="shared" si="8"/>
      </c>
      <c r="AB14" s="113">
        <f t="shared" si="9"/>
      </c>
      <c r="AC14" s="112">
        <f t="shared" si="10"/>
      </c>
      <c r="AD14" s="148">
        <f t="shared" si="0"/>
      </c>
      <c r="AG14" s="197">
        <f t="shared" si="11"/>
        <v>0</v>
      </c>
      <c r="AH14" s="68">
        <f t="shared" si="12"/>
      </c>
      <c r="AI14" s="68">
        <f t="shared" si="13"/>
        <v>0</v>
      </c>
      <c r="AJ14" s="68">
        <f t="shared" si="1"/>
      </c>
      <c r="AK14" s="68">
        <f t="shared" si="14"/>
        <v>0</v>
      </c>
      <c r="AL14" s="68">
        <f t="shared" si="2"/>
      </c>
      <c r="AM14" s="68">
        <f t="shared" si="3"/>
      </c>
    </row>
    <row r="15" spans="1:39" s="72" customFormat="1" ht="52.5" customHeight="1">
      <c r="A15" s="147">
        <f>IF(OR(ISNUMBER(D15)=TRUE,ISNUMBER(I15)=TRUE,ISNUMBER(N15)=TRUE,ISNUMBER(S15)=TRUE,ISNUMBER(X15)=TRUE),6,"")</f>
      </c>
      <c r="B15" s="161">
        <f>IF(ISBLANK('Prijava ekipa i izvlačenje br.'!C7)=TRUE,"",'Prijava ekipa i izvlačenje br.'!C7)</f>
      </c>
      <c r="C15" s="163">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c>
      <c r="D15" s="95">
        <f>IF(AND(ISNUMBER('Prijava ekipa i izvlačenje br.'!A7)=TRUE,ISNUMBER(E15)=TRUE),'Prijava ekipa i izvlačenje br.'!A7,IF(AND(ISNUMBER('Prijava ekipa i izvlačenje br.'!F7)=TRUE,COUNTIF('Prijava ekipa i izvlačenje br.'!$E7,"A")=1),'Prijava ekipa i izvlačenje br.'!F7,IF(AND(ISNUMBER('Prijava ekipa i izvlačenje br.'!I7)=TRUE,COUNTIF('Prijava ekipa i izvlačenje br.'!$H7,"A")=1),'Prijava ekipa i izvlačenje br.'!I7,IF(AND(ISNUMBER('Prijava ekipa i izvlačenje br.'!L7)=TRUE,COUNTIF('Prijava ekipa i izvlačenje br.'!$K7,"A")=1),'Prijava ekipa i izvlačenje br.'!L7,IF(AND(ISNUMBER('Prijava ekipa i izvlačenje br.'!O7)=TRUE,COUNTIF('Prijava ekipa i izvlačenje br.'!$N7,"A")=1),'Prijava ekipa i izvlačenje br.'!O7,IF(AND(ISNUMBER('Prijava ekipa i izvlačenje br.'!R7)=TRUE,COUNTIF('Prijava ekipa i izvlačenje br.'!$Q7,"A")=1),'Prijava ekipa i izvlačenje br.'!R7,""))))))</f>
      </c>
      <c r="E15" s="112">
        <f>IF(ISBLANK('Upis rezultata A sektora'!F7)=TRUE,"",'Upis rezultata A sektora'!F7)</f>
      </c>
      <c r="F15" s="112">
        <f>IF(ISBLANK('Upis rezultata A sektora'!B7)=TRUE,"",'Upis rezultata A sektora'!B7)</f>
      </c>
      <c r="G15" s="117">
        <f t="shared" si="4"/>
      </c>
      <c r="H15" s="157">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c>
      <c r="I15" s="95">
        <f>IF(AND(ISNUMBER('Prijava ekipa i izvlačenje br.'!A7)=TRUE,ISNUMBER(J15)=TRUE),'Prijava ekipa i izvlačenje br.'!A7,IF(AND(ISNUMBER('Prijava ekipa i izvlačenje br.'!F7)=TRUE,COUNTIF('Prijava ekipa i izvlačenje br.'!$E7,"B")=1),'Prijava ekipa i izvlačenje br.'!F7,IF(AND(ISNUMBER('Prijava ekipa i izvlačenje br.'!I7)=TRUE,COUNTIF('Prijava ekipa i izvlačenje br.'!$H7,"B")=1),'Prijava ekipa i izvlačenje br.'!I7,IF(AND(ISNUMBER('Prijava ekipa i izvlačenje br.'!L7)=TRUE,COUNTIF('Prijava ekipa i izvlačenje br.'!$K7,"B")=1),'Prijava ekipa i izvlačenje br.'!L7,IF(AND(ISNUMBER('Prijava ekipa i izvlačenje br.'!O7)=TRUE,COUNTIF('Prijava ekipa i izvlačenje br.'!$N7,"B")=1),'Prijava ekipa i izvlačenje br.'!O7,IF(AND(ISNUMBER('Prijava ekipa i izvlačenje br.'!R7)=TRUE,COUNTIF('Prijava ekipa i izvlačenje br.'!$Q7,"B")=1),'Prijava ekipa i izvlačenje br.'!R7,""))))))</f>
      </c>
      <c r="J15" s="112">
        <f>IF(ISBLANK('Upis rezultata B sektora'!F7)=TRUE,"",'Upis rezultata B sektora'!F7)</f>
      </c>
      <c r="K15" s="112">
        <f>IF(ISBLANK('Upis rezultata B sektora'!B7)=TRUE,"",'Upis rezultata B sektora'!B7)</f>
      </c>
      <c r="L15" s="158">
        <f t="shared" si="5"/>
      </c>
      <c r="M15" s="94">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c>
      <c r="N15" s="95">
        <f>IF(AND(ISNUMBER('Prijava ekipa i izvlačenje br.'!A7)=TRUE,ISNUMBER(O15)),'Prijava ekipa i izvlačenje br.'!A7,IF(AND(ISNUMBER('Prijava ekipa i izvlačenje br.'!F7)=TRUE,COUNTIF('Prijava ekipa i izvlačenje br.'!$E7,"C")=1),'Prijava ekipa i izvlačenje br.'!F7,IF(AND(ISNUMBER('Prijava ekipa i izvlačenje br.'!I7)=TRUE,COUNTIF('Prijava ekipa i izvlačenje br.'!$H7,"C")=1),'Prijava ekipa i izvlačenje br.'!I7,IF(AND(ISNUMBER('Prijava ekipa i izvlačenje br.'!L7)=TRUE,COUNTIF('Prijava ekipa i izvlačenje br.'!$K7,"C")=1),'Prijava ekipa i izvlačenje br.'!L7,IF(AND(ISNUMBER('Prijava ekipa i izvlačenje br.'!O7)=TRUE,COUNTIF('Prijava ekipa i izvlačenje br.'!$N7,"C")=1),'Prijava ekipa i izvlačenje br.'!O7,IF(AND(ISNUMBER('Prijava ekipa i izvlačenje br.'!R7)=TRUE,COUNTIF('Prijava ekipa i izvlačenje br.'!$Q7,"C")=1),'Prijava ekipa i izvlačenje br.'!R7,""))))))</f>
      </c>
      <c r="O15" s="112">
        <f>IF(ISBLANK('Upis rezultata C sektora'!F7)=TRUE,"",'Upis rezultata C sektora'!F7)</f>
      </c>
      <c r="P15" s="112">
        <f>IF(ISBLANK('Upis rezultata C sektora'!B7)=TRUE,"",'Upis rezultata C sektora'!B7)</f>
      </c>
      <c r="Q15" s="155">
        <f t="shared" si="6"/>
      </c>
      <c r="R15" s="157">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c>
      <c r="S15" s="95">
        <f>IF(AND(ISNUMBER('Prijava ekipa i izvlačenje br.'!A7)=TRUE,ISNUMBER(T15)=TRUE),'Prijava ekipa i izvlačenje br.'!A7,IF(AND(ISNUMBER('Prijava ekipa i izvlačenje br.'!F7)=TRUE,COUNTIF('Prijava ekipa i izvlačenje br.'!$E7,"D")=1),'Prijava ekipa i izvlačenje br.'!F7,IF(AND(ISNUMBER('Prijava ekipa i izvlačenje br.'!I7)=TRUE,COUNTIF('Prijava ekipa i izvlačenje br.'!$H7,"D")=1),'Prijava ekipa i izvlačenje br.'!I7,IF(AND(ISNUMBER('Prijava ekipa i izvlačenje br.'!L7)=TRUE,COUNTIF('Prijava ekipa i izvlačenje br.'!$K7,"D")=1),'Prijava ekipa i izvlačenje br.'!L7,IF(AND(ISNUMBER('Prijava ekipa i izvlačenje br.'!O7)=TRUE,COUNTIF('Prijava ekipa i izvlačenje br.'!$N7,"D")=1),'Prijava ekipa i izvlačenje br.'!O7,IF(AND(ISNUMBER('Prijava ekipa i izvlačenje br.'!R7)=TRUE,COUNTIF('Prijava ekipa i izvlačenje br.'!$Q7,"D")=1),'Prijava ekipa i izvlačenje br.'!R7,""))))))</f>
      </c>
      <c r="T15" s="112">
        <f>IF(ISBLANK('Upis rezultata D sektora'!F7)=TRUE,"",'Upis rezultata D sektora'!F7)</f>
      </c>
      <c r="U15" s="112">
        <f>IF(ISBLANK('Upis rezultata D sektora'!B7)=TRUE,"",'Upis rezultata D sektora'!B7)</f>
      </c>
      <c r="V15" s="158">
        <f t="shared" si="7"/>
      </c>
      <c r="W15" s="94">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c>
      <c r="X15" s="95">
        <f>IF(AND(ISNUMBER('Prijava ekipa i izvlačenje br.'!A7)=TRUE,ISNUMBER(Y15)=TRUE),'Prijava ekipa i izvlačenje br.'!A7,IF(AND(ISNUMBER('Prijava ekipa i izvlačenje br.'!F7)=TRUE,COUNTIF('Prijava ekipa i izvlačenje br.'!$E7,"E")=1),'Prijava ekipa i izvlačenje br.'!F7,IF(AND(ISNUMBER('Prijava ekipa i izvlačenje br.'!I7)=TRUE,COUNTIF('Prijava ekipa i izvlačenje br.'!$H7,"E")=1),'Prijava ekipa i izvlačenje br.'!I7,IF(AND(ISNUMBER('Prijava ekipa i izvlačenje br.'!L7)=TRUE,COUNTIF('Prijava ekipa i izvlačenje br.'!$K7,"E")=1),'Prijava ekipa i izvlačenje br.'!L7,IF(AND(ISNUMBER('Prijava ekipa i izvlačenje br.'!O7)=TRUE,COUNTIF('Prijava ekipa i izvlačenje br.'!$N7,"E")=1),'Prijava ekipa i izvlačenje br.'!O7,IF(AND(ISNUMBER('Prijava ekipa i izvlačenje br.'!R7)=TRUE,COUNTIF('Prijava ekipa i izvlačenje br.'!$Q7,"E")=1),'Prijava ekipa i izvlačenje br.'!R7,""))))))</f>
      </c>
      <c r="Y15" s="112">
        <f>IF(ISBLANK('Upis rezultata E sektora'!F7)=TRUE,"",'Upis rezultata E sektora'!F7)</f>
      </c>
      <c r="Z15" s="112">
        <f>IF(ISBLANK('Upis rezultata E sektora'!B7)=TRUE,"",'Upis rezultata E sektora'!B7)</f>
      </c>
      <c r="AA15" s="117">
        <f t="shared" si="8"/>
      </c>
      <c r="AB15" s="113">
        <f t="shared" si="9"/>
      </c>
      <c r="AC15" s="112">
        <f t="shared" si="10"/>
      </c>
      <c r="AD15" s="148">
        <f t="shared" si="0"/>
      </c>
      <c r="AG15" s="197">
        <f t="shared" si="11"/>
        <v>0</v>
      </c>
      <c r="AH15" s="68">
        <f t="shared" si="12"/>
      </c>
      <c r="AI15" s="68">
        <f t="shared" si="13"/>
        <v>0</v>
      </c>
      <c r="AJ15" s="68">
        <f t="shared" si="1"/>
      </c>
      <c r="AK15" s="68">
        <f t="shared" si="14"/>
        <v>0</v>
      </c>
      <c r="AL15" s="68">
        <f t="shared" si="2"/>
      </c>
      <c r="AM15" s="68">
        <f t="shared" si="3"/>
      </c>
    </row>
    <row r="16" spans="1:39" s="72" customFormat="1" ht="52.5" customHeight="1">
      <c r="A16" s="147">
        <f>IF(OR(ISNUMBER(D16)=TRUE,ISNUMBER(I16)=TRUE,ISNUMBER(N16)=TRUE,ISNUMBER(S16)=TRUE,ISNUMBER(X16)=TRUE),7,"")</f>
      </c>
      <c r="B16" s="161">
        <f>IF(ISBLANK('Prijava ekipa i izvlačenje br.'!C8)=TRUE,"",'Prijava ekipa i izvlačenje br.'!C8)</f>
      </c>
      <c r="C16" s="163">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c>
      <c r="D16" s="95">
        <f>IF(AND(ISNUMBER('Prijava ekipa i izvlačenje br.'!A8)=TRUE,ISNUMBER(E16)=TRUE),'Prijava ekipa i izvlačenje br.'!A8,IF(AND(ISNUMBER('Prijava ekipa i izvlačenje br.'!F8)=TRUE,COUNTIF('Prijava ekipa i izvlačenje br.'!$E8,"A")=1),'Prijava ekipa i izvlačenje br.'!F8,IF(AND(ISNUMBER('Prijava ekipa i izvlačenje br.'!I8)=TRUE,COUNTIF('Prijava ekipa i izvlačenje br.'!$H8,"A")=1),'Prijava ekipa i izvlačenje br.'!I8,IF(AND(ISNUMBER('Prijava ekipa i izvlačenje br.'!L8)=TRUE,COUNTIF('Prijava ekipa i izvlačenje br.'!$K8,"A")=1),'Prijava ekipa i izvlačenje br.'!L8,IF(AND(ISNUMBER('Prijava ekipa i izvlačenje br.'!O8)=TRUE,COUNTIF('Prijava ekipa i izvlačenje br.'!$N8,"A")=1),'Prijava ekipa i izvlačenje br.'!O8,IF(AND(ISNUMBER('Prijava ekipa i izvlačenje br.'!R8)=TRUE,COUNTIF('Prijava ekipa i izvlačenje br.'!$Q8,"A")=1),'Prijava ekipa i izvlačenje br.'!R8,""))))))</f>
      </c>
      <c r="E16" s="112">
        <f>IF(ISBLANK('Upis rezultata A sektora'!F8)=TRUE,"",'Upis rezultata A sektora'!F8)</f>
      </c>
      <c r="F16" s="112">
        <f>IF(ISBLANK('Upis rezultata A sektora'!B8)=TRUE,"",'Upis rezultata A sektora'!B8)</f>
      </c>
      <c r="G16" s="117">
        <f t="shared" si="4"/>
      </c>
      <c r="H16" s="157">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c>
      <c r="I16" s="95">
        <f>IF(AND(ISNUMBER('Prijava ekipa i izvlačenje br.'!A8)=TRUE,ISNUMBER(J16)=TRUE),'Prijava ekipa i izvlačenje br.'!A8,IF(AND(ISNUMBER('Prijava ekipa i izvlačenje br.'!F8)=TRUE,COUNTIF('Prijava ekipa i izvlačenje br.'!$E8,"B")=1),'Prijava ekipa i izvlačenje br.'!F8,IF(AND(ISNUMBER('Prijava ekipa i izvlačenje br.'!I8)=TRUE,COUNTIF('Prijava ekipa i izvlačenje br.'!$H8,"B")=1),'Prijava ekipa i izvlačenje br.'!I8,IF(AND(ISNUMBER('Prijava ekipa i izvlačenje br.'!L8)=TRUE,COUNTIF('Prijava ekipa i izvlačenje br.'!$K8,"B")=1),'Prijava ekipa i izvlačenje br.'!L8,IF(AND(ISNUMBER('Prijava ekipa i izvlačenje br.'!O8)=TRUE,COUNTIF('Prijava ekipa i izvlačenje br.'!$N8,"B")=1),'Prijava ekipa i izvlačenje br.'!O8,IF(AND(ISNUMBER('Prijava ekipa i izvlačenje br.'!R8)=TRUE,COUNTIF('Prijava ekipa i izvlačenje br.'!$Q8,"B")=1),'Prijava ekipa i izvlačenje br.'!R8,""))))))</f>
      </c>
      <c r="J16" s="112">
        <f>IF(ISBLANK('Upis rezultata B sektora'!F8)=TRUE,"",'Upis rezultata B sektora'!F8)</f>
      </c>
      <c r="K16" s="112">
        <f>IF(ISBLANK('Upis rezultata B sektora'!B8)=TRUE,"",'Upis rezultata B sektora'!B8)</f>
      </c>
      <c r="L16" s="158">
        <f t="shared" si="5"/>
      </c>
      <c r="M16" s="94">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c>
      <c r="N16" s="95">
        <f>IF(AND(ISNUMBER('Prijava ekipa i izvlačenje br.'!A8)=TRUE,ISNUMBER(O16)),'Prijava ekipa i izvlačenje br.'!A8,IF(AND(ISNUMBER('Prijava ekipa i izvlačenje br.'!F8)=TRUE,COUNTIF('Prijava ekipa i izvlačenje br.'!$E8,"C")=1),'Prijava ekipa i izvlačenje br.'!F8,IF(AND(ISNUMBER('Prijava ekipa i izvlačenje br.'!I8)=TRUE,COUNTIF('Prijava ekipa i izvlačenje br.'!$H8,"C")=1),'Prijava ekipa i izvlačenje br.'!I8,IF(AND(ISNUMBER('Prijava ekipa i izvlačenje br.'!L8)=TRUE,COUNTIF('Prijava ekipa i izvlačenje br.'!$K8,"C")=1),'Prijava ekipa i izvlačenje br.'!L8,IF(AND(ISNUMBER('Prijava ekipa i izvlačenje br.'!O8)=TRUE,COUNTIF('Prijava ekipa i izvlačenje br.'!$N8,"C")=1),'Prijava ekipa i izvlačenje br.'!O8,IF(AND(ISNUMBER('Prijava ekipa i izvlačenje br.'!R8)=TRUE,COUNTIF('Prijava ekipa i izvlačenje br.'!$Q8,"C")=1),'Prijava ekipa i izvlačenje br.'!R8,""))))))</f>
      </c>
      <c r="O16" s="112">
        <f>IF(ISBLANK('Upis rezultata C sektora'!F8)=TRUE,"",'Upis rezultata C sektora'!F8)</f>
      </c>
      <c r="P16" s="112">
        <f>IF(ISBLANK('Upis rezultata C sektora'!B8)=TRUE,"",'Upis rezultata C sektora'!B8)</f>
      </c>
      <c r="Q16" s="155">
        <f t="shared" si="6"/>
      </c>
      <c r="R16" s="157">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c>
      <c r="S16" s="95">
        <f>IF(AND(ISNUMBER('Prijava ekipa i izvlačenje br.'!A8)=TRUE,ISNUMBER(T16)=TRUE),'Prijava ekipa i izvlačenje br.'!A8,IF(AND(ISNUMBER('Prijava ekipa i izvlačenje br.'!F8)=TRUE,COUNTIF('Prijava ekipa i izvlačenje br.'!$E8,"D")=1),'Prijava ekipa i izvlačenje br.'!F8,IF(AND(ISNUMBER('Prijava ekipa i izvlačenje br.'!I8)=TRUE,COUNTIF('Prijava ekipa i izvlačenje br.'!$H8,"D")=1),'Prijava ekipa i izvlačenje br.'!I8,IF(AND(ISNUMBER('Prijava ekipa i izvlačenje br.'!L8)=TRUE,COUNTIF('Prijava ekipa i izvlačenje br.'!$K8,"D")=1),'Prijava ekipa i izvlačenje br.'!L8,IF(AND(ISNUMBER('Prijava ekipa i izvlačenje br.'!O8)=TRUE,COUNTIF('Prijava ekipa i izvlačenje br.'!$N8,"D")=1),'Prijava ekipa i izvlačenje br.'!O8,IF(AND(ISNUMBER('Prijava ekipa i izvlačenje br.'!R8)=TRUE,COUNTIF('Prijava ekipa i izvlačenje br.'!$Q8,"D")=1),'Prijava ekipa i izvlačenje br.'!R8,""))))))</f>
      </c>
      <c r="T16" s="112">
        <f>IF(ISBLANK('Upis rezultata D sektora'!F8)=TRUE,"",'Upis rezultata D sektora'!F8)</f>
      </c>
      <c r="U16" s="112">
        <f>IF(ISBLANK('Upis rezultata D sektora'!B8)=TRUE,"",'Upis rezultata D sektora'!B8)</f>
      </c>
      <c r="V16" s="158">
        <f t="shared" si="7"/>
      </c>
      <c r="W16" s="94">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c>
      <c r="X16" s="95">
        <f>IF(AND(ISNUMBER('Prijava ekipa i izvlačenje br.'!A8)=TRUE,ISNUMBER(Y16)=TRUE),'Prijava ekipa i izvlačenje br.'!A8,IF(AND(ISNUMBER('Prijava ekipa i izvlačenje br.'!F8)=TRUE,COUNTIF('Prijava ekipa i izvlačenje br.'!$E8,"E")=1),'Prijava ekipa i izvlačenje br.'!F8,IF(AND(ISNUMBER('Prijava ekipa i izvlačenje br.'!I8)=TRUE,COUNTIF('Prijava ekipa i izvlačenje br.'!$H8,"E")=1),'Prijava ekipa i izvlačenje br.'!I8,IF(AND(ISNUMBER('Prijava ekipa i izvlačenje br.'!L8)=TRUE,COUNTIF('Prijava ekipa i izvlačenje br.'!$K8,"E")=1),'Prijava ekipa i izvlačenje br.'!L8,IF(AND(ISNUMBER('Prijava ekipa i izvlačenje br.'!O8)=TRUE,COUNTIF('Prijava ekipa i izvlačenje br.'!$N8,"E")=1),'Prijava ekipa i izvlačenje br.'!O8,IF(AND(ISNUMBER('Prijava ekipa i izvlačenje br.'!R8)=TRUE,COUNTIF('Prijava ekipa i izvlačenje br.'!$Q8,"E")=1),'Prijava ekipa i izvlačenje br.'!R8,""))))))</f>
      </c>
      <c r="Y16" s="112">
        <f>IF(ISBLANK('Upis rezultata E sektora'!F8)=TRUE,"",'Upis rezultata E sektora'!F8)</f>
      </c>
      <c r="Z16" s="112">
        <f>IF(ISBLANK('Upis rezultata E sektora'!B8)=TRUE,"",'Upis rezultata E sektora'!B8)</f>
      </c>
      <c r="AA16" s="117">
        <f t="shared" si="8"/>
      </c>
      <c r="AB16" s="113">
        <f t="shared" si="9"/>
      </c>
      <c r="AC16" s="112">
        <f t="shared" si="10"/>
      </c>
      <c r="AD16" s="148">
        <f t="shared" si="0"/>
      </c>
      <c r="AG16" s="197">
        <f t="shared" si="11"/>
        <v>0</v>
      </c>
      <c r="AH16" s="68">
        <f t="shared" si="12"/>
      </c>
      <c r="AI16" s="68">
        <f t="shared" si="13"/>
        <v>0</v>
      </c>
      <c r="AJ16" s="68">
        <f t="shared" si="1"/>
      </c>
      <c r="AK16" s="68">
        <f t="shared" si="14"/>
        <v>0</v>
      </c>
      <c r="AL16" s="68">
        <f t="shared" si="2"/>
      </c>
      <c r="AM16" s="68">
        <f t="shared" si="3"/>
      </c>
    </row>
    <row r="17" spans="1:39" s="72" customFormat="1" ht="52.5" customHeight="1">
      <c r="A17" s="147">
        <f>IF(OR(ISNUMBER(D17)=TRUE,ISNUMBER(I17)=TRUE,ISNUMBER(N17)=TRUE,ISNUMBER(S17)=TRUE,ISNUMBER(X17)=TRUE),8,"")</f>
      </c>
      <c r="B17" s="161">
        <f>IF(ISBLANK('Prijava ekipa i izvlačenje br.'!C9)=TRUE,"",'Prijava ekipa i izvlačenje br.'!C9)</f>
      </c>
      <c r="C17" s="163">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c>
      <c r="D17" s="95">
        <f>IF(AND(ISNUMBER('Prijava ekipa i izvlačenje br.'!A9)=TRUE,ISNUMBER(E17)=TRUE),'Prijava ekipa i izvlačenje br.'!A9,IF(AND(ISNUMBER('Prijava ekipa i izvlačenje br.'!F9)=TRUE,COUNTIF('Prijava ekipa i izvlačenje br.'!$E9,"A")=1),'Prijava ekipa i izvlačenje br.'!F9,IF(AND(ISNUMBER('Prijava ekipa i izvlačenje br.'!I9)=TRUE,COUNTIF('Prijava ekipa i izvlačenje br.'!$H9,"A")=1),'Prijava ekipa i izvlačenje br.'!I9,IF(AND(ISNUMBER('Prijava ekipa i izvlačenje br.'!L9)=TRUE,COUNTIF('Prijava ekipa i izvlačenje br.'!$K9,"A")=1),'Prijava ekipa i izvlačenje br.'!L9,IF(AND(ISNUMBER('Prijava ekipa i izvlačenje br.'!O9)=TRUE,COUNTIF('Prijava ekipa i izvlačenje br.'!$N9,"A")=1),'Prijava ekipa i izvlačenje br.'!O9,IF(AND(ISNUMBER('Prijava ekipa i izvlačenje br.'!R9)=TRUE,COUNTIF('Prijava ekipa i izvlačenje br.'!$Q9,"A")=1),'Prijava ekipa i izvlačenje br.'!R9,""))))))</f>
      </c>
      <c r="E17" s="112">
        <f>IF(ISBLANK('Upis rezultata A sektora'!F9)=TRUE,"",'Upis rezultata A sektora'!F9)</f>
      </c>
      <c r="F17" s="112">
        <f>IF(ISBLANK('Upis rezultata A sektora'!B9)=TRUE,"",'Upis rezultata A sektora'!B9)</f>
      </c>
      <c r="G17" s="117">
        <f t="shared" si="4"/>
      </c>
      <c r="H17" s="157">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c>
      <c r="I17" s="95">
        <f>IF(AND(ISNUMBER('Prijava ekipa i izvlačenje br.'!A9)=TRUE,ISNUMBER(J17)=TRUE),'Prijava ekipa i izvlačenje br.'!A9,IF(AND(ISNUMBER('Prijava ekipa i izvlačenje br.'!F9)=TRUE,COUNTIF('Prijava ekipa i izvlačenje br.'!$E9,"B")=1),'Prijava ekipa i izvlačenje br.'!F9,IF(AND(ISNUMBER('Prijava ekipa i izvlačenje br.'!I9)=TRUE,COUNTIF('Prijava ekipa i izvlačenje br.'!$H9,"B")=1),'Prijava ekipa i izvlačenje br.'!I9,IF(AND(ISNUMBER('Prijava ekipa i izvlačenje br.'!L9)=TRUE,COUNTIF('Prijava ekipa i izvlačenje br.'!$K9,"B")=1),'Prijava ekipa i izvlačenje br.'!L9,IF(AND(ISNUMBER('Prijava ekipa i izvlačenje br.'!O9)=TRUE,COUNTIF('Prijava ekipa i izvlačenje br.'!$N9,"B")=1),'Prijava ekipa i izvlačenje br.'!O9,IF(AND(ISNUMBER('Prijava ekipa i izvlačenje br.'!R9)=TRUE,COUNTIF('Prijava ekipa i izvlačenje br.'!$Q9,"B")=1),'Prijava ekipa i izvlačenje br.'!R9,""))))))</f>
      </c>
      <c r="J17" s="112">
        <f>IF(ISBLANK('Upis rezultata B sektora'!F9)=TRUE,"",'Upis rezultata B sektora'!F9)</f>
      </c>
      <c r="K17" s="112">
        <f>IF(ISBLANK('Upis rezultata B sektora'!B9)=TRUE,"",'Upis rezultata B sektora'!B9)</f>
      </c>
      <c r="L17" s="158">
        <f t="shared" si="5"/>
      </c>
      <c r="M17" s="94">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c>
      <c r="N17" s="95">
        <f>IF(AND(ISNUMBER('Prijava ekipa i izvlačenje br.'!A9)=TRUE,ISNUMBER(O17)),'Prijava ekipa i izvlačenje br.'!A9,IF(AND(ISNUMBER('Prijava ekipa i izvlačenje br.'!F9)=TRUE,COUNTIF('Prijava ekipa i izvlačenje br.'!$E9,"C")=1),'Prijava ekipa i izvlačenje br.'!F9,IF(AND(ISNUMBER('Prijava ekipa i izvlačenje br.'!I9)=TRUE,COUNTIF('Prijava ekipa i izvlačenje br.'!$H9,"C")=1),'Prijava ekipa i izvlačenje br.'!I9,IF(AND(ISNUMBER('Prijava ekipa i izvlačenje br.'!L9)=TRUE,COUNTIF('Prijava ekipa i izvlačenje br.'!$K9,"C")=1),'Prijava ekipa i izvlačenje br.'!L9,IF(AND(ISNUMBER('Prijava ekipa i izvlačenje br.'!O9)=TRUE,COUNTIF('Prijava ekipa i izvlačenje br.'!$N9,"C")=1),'Prijava ekipa i izvlačenje br.'!O9,IF(AND(ISNUMBER('Prijava ekipa i izvlačenje br.'!R9)=TRUE,COUNTIF('Prijava ekipa i izvlačenje br.'!$Q9,"C")=1),'Prijava ekipa i izvlačenje br.'!R9,""))))))</f>
      </c>
      <c r="O17" s="112">
        <f>IF(ISBLANK('Upis rezultata C sektora'!F9)=TRUE,"",'Upis rezultata C sektora'!F9)</f>
      </c>
      <c r="P17" s="112">
        <f>IF(ISBLANK('Upis rezultata C sektora'!B9)=TRUE,"",'Upis rezultata C sektora'!B9)</f>
      </c>
      <c r="Q17" s="155">
        <f t="shared" si="6"/>
      </c>
      <c r="R17" s="157">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c>
      <c r="S17" s="95">
        <f>IF(AND(ISNUMBER('Prijava ekipa i izvlačenje br.'!A9)=TRUE,ISNUMBER(T17)=TRUE),'Prijava ekipa i izvlačenje br.'!A9,IF(AND(ISNUMBER('Prijava ekipa i izvlačenje br.'!F9)=TRUE,COUNTIF('Prijava ekipa i izvlačenje br.'!$E9,"D")=1),'Prijava ekipa i izvlačenje br.'!F9,IF(AND(ISNUMBER('Prijava ekipa i izvlačenje br.'!I9)=TRUE,COUNTIF('Prijava ekipa i izvlačenje br.'!$H9,"D")=1),'Prijava ekipa i izvlačenje br.'!I9,IF(AND(ISNUMBER('Prijava ekipa i izvlačenje br.'!L9)=TRUE,COUNTIF('Prijava ekipa i izvlačenje br.'!$K9,"D")=1),'Prijava ekipa i izvlačenje br.'!L9,IF(AND(ISNUMBER('Prijava ekipa i izvlačenje br.'!O9)=TRUE,COUNTIF('Prijava ekipa i izvlačenje br.'!$N9,"D")=1),'Prijava ekipa i izvlačenje br.'!O9,IF(AND(ISNUMBER('Prijava ekipa i izvlačenje br.'!R9)=TRUE,COUNTIF('Prijava ekipa i izvlačenje br.'!$Q9,"D")=1),'Prijava ekipa i izvlačenje br.'!R9,""))))))</f>
      </c>
      <c r="T17" s="112">
        <f>IF(ISBLANK('Upis rezultata D sektora'!F9)=TRUE,"",'Upis rezultata D sektora'!F9)</f>
      </c>
      <c r="U17" s="112">
        <f>IF(ISBLANK('Upis rezultata D sektora'!B9)=TRUE,"",'Upis rezultata D sektora'!B9)</f>
      </c>
      <c r="V17" s="158">
        <f t="shared" si="7"/>
      </c>
      <c r="W17" s="94">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c>
      <c r="X17" s="95">
        <f>IF(AND(ISNUMBER('Prijava ekipa i izvlačenje br.'!A9)=TRUE,ISNUMBER(Y17)=TRUE),'Prijava ekipa i izvlačenje br.'!A9,IF(AND(ISNUMBER('Prijava ekipa i izvlačenje br.'!F9)=TRUE,COUNTIF('Prijava ekipa i izvlačenje br.'!$E9,"E")=1),'Prijava ekipa i izvlačenje br.'!F9,IF(AND(ISNUMBER('Prijava ekipa i izvlačenje br.'!I9)=TRUE,COUNTIF('Prijava ekipa i izvlačenje br.'!$H9,"E")=1),'Prijava ekipa i izvlačenje br.'!I9,IF(AND(ISNUMBER('Prijava ekipa i izvlačenje br.'!L9)=TRUE,COUNTIF('Prijava ekipa i izvlačenje br.'!$K9,"E")=1),'Prijava ekipa i izvlačenje br.'!L9,IF(AND(ISNUMBER('Prijava ekipa i izvlačenje br.'!O9)=TRUE,COUNTIF('Prijava ekipa i izvlačenje br.'!$N9,"E")=1),'Prijava ekipa i izvlačenje br.'!O9,IF(AND(ISNUMBER('Prijava ekipa i izvlačenje br.'!R9)=TRUE,COUNTIF('Prijava ekipa i izvlačenje br.'!$Q9,"E")=1),'Prijava ekipa i izvlačenje br.'!R9,""))))))</f>
      </c>
      <c r="Y17" s="112">
        <f>IF(ISBLANK('Upis rezultata E sektora'!F9)=TRUE,"",'Upis rezultata E sektora'!F9)</f>
      </c>
      <c r="Z17" s="112">
        <f>IF(ISBLANK('Upis rezultata E sektora'!B9)=TRUE,"",'Upis rezultata E sektora'!B9)</f>
      </c>
      <c r="AA17" s="117">
        <f t="shared" si="8"/>
      </c>
      <c r="AB17" s="113">
        <f t="shared" si="9"/>
      </c>
      <c r="AC17" s="112">
        <f t="shared" si="10"/>
      </c>
      <c r="AD17" s="148">
        <f t="shared" si="0"/>
      </c>
      <c r="AG17" s="197">
        <f t="shared" si="11"/>
        <v>0</v>
      </c>
      <c r="AH17" s="68">
        <f t="shared" si="12"/>
      </c>
      <c r="AI17" s="68">
        <f t="shared" si="13"/>
        <v>0</v>
      </c>
      <c r="AJ17" s="68">
        <f t="shared" si="1"/>
      </c>
      <c r="AK17" s="68">
        <f t="shared" si="14"/>
        <v>0</v>
      </c>
      <c r="AL17" s="68">
        <f t="shared" si="2"/>
      </c>
      <c r="AM17" s="68">
        <f t="shared" si="3"/>
      </c>
    </row>
    <row r="18" spans="1:39" s="72" customFormat="1" ht="52.5" customHeight="1">
      <c r="A18" s="147">
        <f>IF(OR(ISNUMBER(D18)=TRUE,ISNUMBER(I18)=TRUE,ISNUMBER(N18)=TRUE,ISNUMBER(S18)=TRUE,ISNUMBER(X18)=TRUE),9,"")</f>
      </c>
      <c r="B18" s="161">
        <f>IF(ISBLANK('Prijava ekipa i izvlačenje br.'!C10)=TRUE,"",'Prijava ekipa i izvlačenje br.'!C10)</f>
      </c>
      <c r="C18" s="163">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c>
      <c r="D18" s="95">
        <f>IF(AND(ISNUMBER('Prijava ekipa i izvlačenje br.'!A10)=TRUE,ISNUMBER(E18)=TRUE),'Prijava ekipa i izvlačenje br.'!A10,IF(AND(ISNUMBER('Prijava ekipa i izvlačenje br.'!F10)=TRUE,COUNTIF('Prijava ekipa i izvlačenje br.'!$E10,"A")=1),'Prijava ekipa i izvlačenje br.'!F10,IF(AND(ISNUMBER('Prijava ekipa i izvlačenje br.'!I10)=TRUE,COUNTIF('Prijava ekipa i izvlačenje br.'!$H10,"A")=1),'Prijava ekipa i izvlačenje br.'!I10,IF(AND(ISNUMBER('Prijava ekipa i izvlačenje br.'!L10)=TRUE,COUNTIF('Prijava ekipa i izvlačenje br.'!$K10,"A")=1),'Prijava ekipa i izvlačenje br.'!L10,IF(AND(ISNUMBER('Prijava ekipa i izvlačenje br.'!O10)=TRUE,COUNTIF('Prijava ekipa i izvlačenje br.'!$N10,"A")=1),'Prijava ekipa i izvlačenje br.'!O10,IF(AND(ISNUMBER('Prijava ekipa i izvlačenje br.'!R10)=TRUE,COUNTIF('Prijava ekipa i izvlačenje br.'!$Q10,"A")=1),'Prijava ekipa i izvlačenje br.'!R10,""))))))</f>
      </c>
      <c r="E18" s="112">
        <f>IF(ISBLANK('Upis rezultata A sektora'!F10)=TRUE,"",'Upis rezultata A sektora'!F10)</f>
      </c>
      <c r="F18" s="112">
        <f>IF(ISBLANK('Upis rezultata A sektora'!B10)=TRUE,"",'Upis rezultata A sektora'!B10)</f>
      </c>
      <c r="G18" s="117">
        <f t="shared" si="4"/>
      </c>
      <c r="H18" s="157">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c>
      <c r="I18" s="95">
        <f>IF(AND(ISNUMBER('Prijava ekipa i izvlačenje br.'!A10)=TRUE,ISNUMBER(J18)=TRUE),'Prijava ekipa i izvlačenje br.'!A10,IF(AND(ISNUMBER('Prijava ekipa i izvlačenje br.'!F10)=TRUE,COUNTIF('Prijava ekipa i izvlačenje br.'!$E10,"B")=1),'Prijava ekipa i izvlačenje br.'!F10,IF(AND(ISNUMBER('Prijava ekipa i izvlačenje br.'!I10)=TRUE,COUNTIF('Prijava ekipa i izvlačenje br.'!$H10,"B")=1),'Prijava ekipa i izvlačenje br.'!I10,IF(AND(ISNUMBER('Prijava ekipa i izvlačenje br.'!L10)=TRUE,COUNTIF('Prijava ekipa i izvlačenje br.'!$K10,"B")=1),'Prijava ekipa i izvlačenje br.'!L10,IF(AND(ISNUMBER('Prijava ekipa i izvlačenje br.'!O10)=TRUE,COUNTIF('Prijava ekipa i izvlačenje br.'!$N10,"B")=1),'Prijava ekipa i izvlačenje br.'!O10,IF(AND(ISNUMBER('Prijava ekipa i izvlačenje br.'!R10)=TRUE,COUNTIF('Prijava ekipa i izvlačenje br.'!$Q10,"B")=1),'Prijava ekipa i izvlačenje br.'!R10,""))))))</f>
      </c>
      <c r="J18" s="112">
        <f>IF(ISBLANK('Upis rezultata B sektora'!F10)=TRUE,"",'Upis rezultata B sektora'!F10)</f>
      </c>
      <c r="K18" s="112">
        <f>IF(ISBLANK('Upis rezultata B sektora'!B10)=TRUE,"",'Upis rezultata B sektora'!B10)</f>
      </c>
      <c r="L18" s="158">
        <f t="shared" si="5"/>
      </c>
      <c r="M18" s="94">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c>
      <c r="N18" s="95">
        <f>IF(AND(ISNUMBER('Prijava ekipa i izvlačenje br.'!A10)=TRUE,ISNUMBER(O18)),'Prijava ekipa i izvlačenje br.'!A10,IF(AND(ISNUMBER('Prijava ekipa i izvlačenje br.'!F10)=TRUE,COUNTIF('Prijava ekipa i izvlačenje br.'!$E10,"C")=1),'Prijava ekipa i izvlačenje br.'!F10,IF(AND(ISNUMBER('Prijava ekipa i izvlačenje br.'!I10)=TRUE,COUNTIF('Prijava ekipa i izvlačenje br.'!$H10,"C")=1),'Prijava ekipa i izvlačenje br.'!I10,IF(AND(ISNUMBER('Prijava ekipa i izvlačenje br.'!L10)=TRUE,COUNTIF('Prijava ekipa i izvlačenje br.'!$K10,"C")=1),'Prijava ekipa i izvlačenje br.'!L10,IF(AND(ISNUMBER('Prijava ekipa i izvlačenje br.'!O10)=TRUE,COUNTIF('Prijava ekipa i izvlačenje br.'!$N10,"C")=1),'Prijava ekipa i izvlačenje br.'!O10,IF(AND(ISNUMBER('Prijava ekipa i izvlačenje br.'!R10)=TRUE,COUNTIF('Prijava ekipa i izvlačenje br.'!$Q10,"C")=1),'Prijava ekipa i izvlačenje br.'!R10,""))))))</f>
      </c>
      <c r="O18" s="112">
        <f>IF(ISBLANK('Upis rezultata C sektora'!F10)=TRUE,"",'Upis rezultata C sektora'!F10)</f>
      </c>
      <c r="P18" s="112">
        <f>IF(ISBLANK('Upis rezultata C sektora'!B10)=TRUE,"",'Upis rezultata C sektora'!B10)</f>
      </c>
      <c r="Q18" s="155">
        <f t="shared" si="6"/>
      </c>
      <c r="R18" s="157">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c>
      <c r="S18" s="95">
        <f>IF(AND(ISNUMBER('Prijava ekipa i izvlačenje br.'!A10)=TRUE,ISNUMBER(T18)=TRUE),'Prijava ekipa i izvlačenje br.'!A10,IF(AND(ISNUMBER('Prijava ekipa i izvlačenje br.'!F10)=TRUE,COUNTIF('Prijava ekipa i izvlačenje br.'!$E10,"D")=1),'Prijava ekipa i izvlačenje br.'!F10,IF(AND(ISNUMBER('Prijava ekipa i izvlačenje br.'!I10)=TRUE,COUNTIF('Prijava ekipa i izvlačenje br.'!$H10,"D")=1),'Prijava ekipa i izvlačenje br.'!I10,IF(AND(ISNUMBER('Prijava ekipa i izvlačenje br.'!L10)=TRUE,COUNTIF('Prijava ekipa i izvlačenje br.'!$K10,"D")=1),'Prijava ekipa i izvlačenje br.'!L10,IF(AND(ISNUMBER('Prijava ekipa i izvlačenje br.'!O10)=TRUE,COUNTIF('Prijava ekipa i izvlačenje br.'!$N10,"D")=1),'Prijava ekipa i izvlačenje br.'!O10,IF(AND(ISNUMBER('Prijava ekipa i izvlačenje br.'!R10)=TRUE,COUNTIF('Prijava ekipa i izvlačenje br.'!$Q10,"D")=1),'Prijava ekipa i izvlačenje br.'!R10,""))))))</f>
      </c>
      <c r="T18" s="112">
        <f>IF(ISBLANK('Upis rezultata D sektora'!F10)=TRUE,"",'Upis rezultata D sektora'!F10)</f>
      </c>
      <c r="U18" s="112">
        <f>IF(ISBLANK('Upis rezultata D sektora'!B10)=TRUE,"",'Upis rezultata D sektora'!B10)</f>
      </c>
      <c r="V18" s="158">
        <f t="shared" si="7"/>
      </c>
      <c r="W18" s="94">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c>
      <c r="X18" s="95">
        <f>IF(AND(ISNUMBER('Prijava ekipa i izvlačenje br.'!A10)=TRUE,ISNUMBER(Y18)=TRUE),'Prijava ekipa i izvlačenje br.'!A10,IF(AND(ISNUMBER('Prijava ekipa i izvlačenje br.'!F10)=TRUE,COUNTIF('Prijava ekipa i izvlačenje br.'!$E10,"E")=1),'Prijava ekipa i izvlačenje br.'!F10,IF(AND(ISNUMBER('Prijava ekipa i izvlačenje br.'!I10)=TRUE,COUNTIF('Prijava ekipa i izvlačenje br.'!$H10,"E")=1),'Prijava ekipa i izvlačenje br.'!I10,IF(AND(ISNUMBER('Prijava ekipa i izvlačenje br.'!L10)=TRUE,COUNTIF('Prijava ekipa i izvlačenje br.'!$K10,"E")=1),'Prijava ekipa i izvlačenje br.'!L10,IF(AND(ISNUMBER('Prijava ekipa i izvlačenje br.'!O10)=TRUE,COUNTIF('Prijava ekipa i izvlačenje br.'!$N10,"E")=1),'Prijava ekipa i izvlačenje br.'!O10,IF(AND(ISNUMBER('Prijava ekipa i izvlačenje br.'!R10)=TRUE,COUNTIF('Prijava ekipa i izvlačenje br.'!$Q10,"E")=1),'Prijava ekipa i izvlačenje br.'!R10,""))))))</f>
      </c>
      <c r="Y18" s="112">
        <f>IF(ISBLANK('Upis rezultata E sektora'!F10)=TRUE,"",'Upis rezultata E sektora'!F10)</f>
      </c>
      <c r="Z18" s="112">
        <f>IF(ISBLANK('Upis rezultata E sektora'!B10)=TRUE,"",'Upis rezultata E sektora'!B10)</f>
      </c>
      <c r="AA18" s="117">
        <f t="shared" si="8"/>
      </c>
      <c r="AB18" s="113">
        <f t="shared" si="9"/>
      </c>
      <c r="AC18" s="112">
        <f t="shared" si="10"/>
      </c>
      <c r="AD18" s="148">
        <f t="shared" si="0"/>
      </c>
      <c r="AG18" s="197">
        <f t="shared" si="11"/>
        <v>0</v>
      </c>
      <c r="AH18" s="68">
        <f t="shared" si="12"/>
      </c>
      <c r="AI18" s="68">
        <f t="shared" si="13"/>
        <v>0</v>
      </c>
      <c r="AJ18" s="68">
        <f t="shared" si="1"/>
      </c>
      <c r="AK18" s="68">
        <f t="shared" si="14"/>
        <v>0</v>
      </c>
      <c r="AL18" s="68">
        <f t="shared" si="2"/>
      </c>
      <c r="AM18" s="68">
        <f t="shared" si="3"/>
      </c>
    </row>
    <row r="19" spans="1:39" s="72" customFormat="1" ht="52.5" customHeight="1">
      <c r="A19" s="147">
        <f>IF(OR(ISNUMBER(D19)=TRUE,ISNUMBER(I19)=TRUE,ISNUMBER(N19)=TRUE,ISNUMBER(S19)=TRUE,ISNUMBER(X19)=TRUE),10,"")</f>
      </c>
      <c r="B19" s="161">
        <f>IF(ISBLANK('Prijava ekipa i izvlačenje br.'!C11)=TRUE,"",'Prijava ekipa i izvlačenje br.'!C11)</f>
      </c>
      <c r="C19" s="163">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c>
      <c r="D19" s="95">
        <f>IF(AND(ISNUMBER('Prijava ekipa i izvlačenje br.'!A11)=TRUE,ISNUMBER(E19)=TRUE),'Prijava ekipa i izvlačenje br.'!A11,IF(AND(ISNUMBER('Prijava ekipa i izvlačenje br.'!F11)=TRUE,COUNTIF('Prijava ekipa i izvlačenje br.'!$E11,"A")=1),'Prijava ekipa i izvlačenje br.'!F11,IF(AND(ISNUMBER('Prijava ekipa i izvlačenje br.'!I11)=TRUE,COUNTIF('Prijava ekipa i izvlačenje br.'!$H11,"A")=1),'Prijava ekipa i izvlačenje br.'!I11,IF(AND(ISNUMBER('Prijava ekipa i izvlačenje br.'!L11)=TRUE,COUNTIF('Prijava ekipa i izvlačenje br.'!$K11,"A")=1),'Prijava ekipa i izvlačenje br.'!L11,IF(AND(ISNUMBER('Prijava ekipa i izvlačenje br.'!O11)=TRUE,COUNTIF('Prijava ekipa i izvlačenje br.'!$N11,"A")=1),'Prijava ekipa i izvlačenje br.'!O11,IF(AND(ISNUMBER('Prijava ekipa i izvlačenje br.'!R11)=TRUE,COUNTIF('Prijava ekipa i izvlačenje br.'!$Q11,"A")=1),'Prijava ekipa i izvlačenje br.'!R11,""))))))</f>
      </c>
      <c r="E19" s="112">
        <f>IF(ISBLANK('Upis rezultata A sektora'!F11)=TRUE,"",'Upis rezultata A sektora'!F11)</f>
      </c>
      <c r="F19" s="112">
        <f>IF(ISBLANK('Upis rezultata A sektora'!B11)=TRUE,"",'Upis rezultata A sektora'!B11)</f>
      </c>
      <c r="G19" s="117">
        <f t="shared" si="4"/>
      </c>
      <c r="H19" s="157">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c>
      <c r="I19" s="95">
        <f>IF(AND(ISNUMBER('Prijava ekipa i izvlačenje br.'!A11)=TRUE,ISNUMBER(J19)=TRUE),'Prijava ekipa i izvlačenje br.'!A11,IF(AND(ISNUMBER('Prijava ekipa i izvlačenje br.'!F11)=TRUE,COUNTIF('Prijava ekipa i izvlačenje br.'!$E11,"B")=1),'Prijava ekipa i izvlačenje br.'!F11,IF(AND(ISNUMBER('Prijava ekipa i izvlačenje br.'!I11)=TRUE,COUNTIF('Prijava ekipa i izvlačenje br.'!$H11,"B")=1),'Prijava ekipa i izvlačenje br.'!I11,IF(AND(ISNUMBER('Prijava ekipa i izvlačenje br.'!L11)=TRUE,COUNTIF('Prijava ekipa i izvlačenje br.'!$K11,"B")=1),'Prijava ekipa i izvlačenje br.'!L11,IF(AND(ISNUMBER('Prijava ekipa i izvlačenje br.'!O11)=TRUE,COUNTIF('Prijava ekipa i izvlačenje br.'!$N11,"B")=1),'Prijava ekipa i izvlačenje br.'!O11,IF(AND(ISNUMBER('Prijava ekipa i izvlačenje br.'!R11)=TRUE,COUNTIF('Prijava ekipa i izvlačenje br.'!$Q11,"B")=1),'Prijava ekipa i izvlačenje br.'!R11,""))))))</f>
      </c>
      <c r="J19" s="112">
        <f>IF(ISBLANK('Upis rezultata B sektora'!F11)=TRUE,"",'Upis rezultata B sektora'!F11)</f>
      </c>
      <c r="K19" s="112">
        <f>IF(ISBLANK('Upis rezultata B sektora'!B11)=TRUE,"",'Upis rezultata B sektora'!B11)</f>
      </c>
      <c r="L19" s="158">
        <f t="shared" si="5"/>
      </c>
      <c r="M19" s="94">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c>
      <c r="N19" s="95">
        <f>IF(AND(ISNUMBER('Prijava ekipa i izvlačenje br.'!A11)=TRUE,ISNUMBER(O19)),'Prijava ekipa i izvlačenje br.'!A11,IF(AND(ISNUMBER('Prijava ekipa i izvlačenje br.'!F11)=TRUE,COUNTIF('Prijava ekipa i izvlačenje br.'!$E11,"C")=1),'Prijava ekipa i izvlačenje br.'!F11,IF(AND(ISNUMBER('Prijava ekipa i izvlačenje br.'!I11)=TRUE,COUNTIF('Prijava ekipa i izvlačenje br.'!$H11,"C")=1),'Prijava ekipa i izvlačenje br.'!I11,IF(AND(ISNUMBER('Prijava ekipa i izvlačenje br.'!L11)=TRUE,COUNTIF('Prijava ekipa i izvlačenje br.'!$K11,"C")=1),'Prijava ekipa i izvlačenje br.'!L11,IF(AND(ISNUMBER('Prijava ekipa i izvlačenje br.'!O11)=TRUE,COUNTIF('Prijava ekipa i izvlačenje br.'!$N11,"C")=1),'Prijava ekipa i izvlačenje br.'!O11,IF(AND(ISNUMBER('Prijava ekipa i izvlačenje br.'!R11)=TRUE,COUNTIF('Prijava ekipa i izvlačenje br.'!$Q11,"C")=1),'Prijava ekipa i izvlačenje br.'!R11,""))))))</f>
      </c>
      <c r="O19" s="112">
        <f>IF(ISBLANK('Upis rezultata C sektora'!F11)=TRUE,"",'Upis rezultata C sektora'!F11)</f>
      </c>
      <c r="P19" s="112">
        <f>IF(ISBLANK('Upis rezultata C sektora'!B11)=TRUE,"",'Upis rezultata C sektora'!B11)</f>
      </c>
      <c r="Q19" s="155">
        <f t="shared" si="6"/>
      </c>
      <c r="R19" s="157">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c>
      <c r="S19" s="95">
        <f>IF(AND(ISNUMBER('Prijava ekipa i izvlačenje br.'!A11)=TRUE,ISNUMBER(T19)=TRUE),'Prijava ekipa i izvlačenje br.'!A11,IF(AND(ISNUMBER('Prijava ekipa i izvlačenje br.'!F11)=TRUE,COUNTIF('Prijava ekipa i izvlačenje br.'!$E11,"D")=1),'Prijava ekipa i izvlačenje br.'!F11,IF(AND(ISNUMBER('Prijava ekipa i izvlačenje br.'!I11)=TRUE,COUNTIF('Prijava ekipa i izvlačenje br.'!$H11,"D")=1),'Prijava ekipa i izvlačenje br.'!I11,IF(AND(ISNUMBER('Prijava ekipa i izvlačenje br.'!L11)=TRUE,COUNTIF('Prijava ekipa i izvlačenje br.'!$K11,"D")=1),'Prijava ekipa i izvlačenje br.'!L11,IF(AND(ISNUMBER('Prijava ekipa i izvlačenje br.'!O11)=TRUE,COUNTIF('Prijava ekipa i izvlačenje br.'!$N11,"D")=1),'Prijava ekipa i izvlačenje br.'!O11,IF(AND(ISNUMBER('Prijava ekipa i izvlačenje br.'!R11)=TRUE,COUNTIF('Prijava ekipa i izvlačenje br.'!$Q11,"D")=1),'Prijava ekipa i izvlačenje br.'!R11,""))))))</f>
      </c>
      <c r="T19" s="112">
        <f>IF(ISBLANK('Upis rezultata D sektora'!F11)=TRUE,"",'Upis rezultata D sektora'!F11)</f>
      </c>
      <c r="U19" s="112">
        <f>IF(ISBLANK('Upis rezultata D sektora'!B11)=TRUE,"",'Upis rezultata D sektora'!B11)</f>
      </c>
      <c r="V19" s="158">
        <f t="shared" si="7"/>
      </c>
      <c r="W19" s="94">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c>
      <c r="X19" s="95">
        <f>IF(AND(ISNUMBER('Prijava ekipa i izvlačenje br.'!A11)=TRUE,ISNUMBER(Y19)=TRUE),'Prijava ekipa i izvlačenje br.'!A11,IF(AND(ISNUMBER('Prijava ekipa i izvlačenje br.'!F11)=TRUE,COUNTIF('Prijava ekipa i izvlačenje br.'!$E11,"E")=1),'Prijava ekipa i izvlačenje br.'!F11,IF(AND(ISNUMBER('Prijava ekipa i izvlačenje br.'!I11)=TRUE,COUNTIF('Prijava ekipa i izvlačenje br.'!$H11,"E")=1),'Prijava ekipa i izvlačenje br.'!I11,IF(AND(ISNUMBER('Prijava ekipa i izvlačenje br.'!L11)=TRUE,COUNTIF('Prijava ekipa i izvlačenje br.'!$K11,"E")=1),'Prijava ekipa i izvlačenje br.'!L11,IF(AND(ISNUMBER('Prijava ekipa i izvlačenje br.'!O11)=TRUE,COUNTIF('Prijava ekipa i izvlačenje br.'!$N11,"E")=1),'Prijava ekipa i izvlačenje br.'!O11,IF(AND(ISNUMBER('Prijava ekipa i izvlačenje br.'!R11)=TRUE,COUNTIF('Prijava ekipa i izvlačenje br.'!$Q11,"E")=1),'Prijava ekipa i izvlačenje br.'!R11,""))))))</f>
      </c>
      <c r="Y19" s="112">
        <f>IF(ISBLANK('Upis rezultata E sektora'!F11)=TRUE,"",'Upis rezultata E sektora'!F11)</f>
      </c>
      <c r="Z19" s="112">
        <f>IF(ISBLANK('Upis rezultata E sektora'!B11)=TRUE,"",'Upis rezultata E sektora'!B11)</f>
      </c>
      <c r="AA19" s="117">
        <f t="shared" si="8"/>
      </c>
      <c r="AB19" s="113">
        <f t="shared" si="9"/>
      </c>
      <c r="AC19" s="112">
        <f t="shared" si="10"/>
      </c>
      <c r="AD19" s="148">
        <f t="shared" si="0"/>
      </c>
      <c r="AG19" s="197">
        <f t="shared" si="11"/>
        <v>0</v>
      </c>
      <c r="AH19" s="68">
        <f t="shared" si="12"/>
      </c>
      <c r="AI19" s="68">
        <f t="shared" si="13"/>
        <v>0</v>
      </c>
      <c r="AJ19" s="68">
        <f t="shared" si="1"/>
      </c>
      <c r="AK19" s="68">
        <f t="shared" si="14"/>
        <v>0</v>
      </c>
      <c r="AL19" s="68">
        <f t="shared" si="2"/>
      </c>
      <c r="AM19" s="68">
        <f t="shared" si="3"/>
      </c>
    </row>
    <row r="20" spans="1:39" s="72" customFormat="1" ht="52.5" customHeight="1">
      <c r="A20" s="147">
        <f>IF(OR(ISNUMBER(D20)=TRUE,ISNUMBER(I20)=TRUE,ISNUMBER(N20)=TRUE,ISNUMBER(S20)=TRUE,ISNUMBER(X20)=TRUE),11,"")</f>
      </c>
      <c r="B20" s="161">
        <f>IF(ISBLANK('Prijava ekipa i izvlačenje br.'!C12)=TRUE,"",'Prijava ekipa i izvlačenje br.'!C12)</f>
      </c>
      <c r="C20" s="163">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c>
      <c r="D20" s="95">
        <f>IF(AND(ISNUMBER('Prijava ekipa i izvlačenje br.'!A12)=TRUE,ISNUMBER(E20)=TRUE),'Prijava ekipa i izvlačenje br.'!A12,IF(AND(ISNUMBER('Prijava ekipa i izvlačenje br.'!F12)=TRUE,COUNTIF('Prijava ekipa i izvlačenje br.'!$E12,"A")=1),'Prijava ekipa i izvlačenje br.'!F12,IF(AND(ISNUMBER('Prijava ekipa i izvlačenje br.'!I12)=TRUE,COUNTIF('Prijava ekipa i izvlačenje br.'!$H12,"A")=1),'Prijava ekipa i izvlačenje br.'!I12,IF(AND(ISNUMBER('Prijava ekipa i izvlačenje br.'!L12)=TRUE,COUNTIF('Prijava ekipa i izvlačenje br.'!$K12,"A")=1),'Prijava ekipa i izvlačenje br.'!L12,IF(AND(ISNUMBER('Prijava ekipa i izvlačenje br.'!O12)=TRUE,COUNTIF('Prijava ekipa i izvlačenje br.'!$N12,"A")=1),'Prijava ekipa i izvlačenje br.'!O12,IF(AND(ISNUMBER('Prijava ekipa i izvlačenje br.'!R12)=TRUE,COUNTIF('Prijava ekipa i izvlačenje br.'!$Q12,"A")=1),'Prijava ekipa i izvlačenje br.'!R12,""))))))</f>
      </c>
      <c r="E20" s="112">
        <f>IF(ISBLANK('Upis rezultata A sektora'!F12)=TRUE,"",'Upis rezultata A sektora'!F12)</f>
      </c>
      <c r="F20" s="112">
        <f>IF(ISBLANK('Upis rezultata A sektora'!B12)=TRUE,"",'Upis rezultata A sektora'!B12)</f>
      </c>
      <c r="G20" s="117">
        <f t="shared" si="4"/>
      </c>
      <c r="H20" s="157">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c>
      <c r="I20" s="95">
        <f>IF(AND(ISNUMBER('Prijava ekipa i izvlačenje br.'!A12)=TRUE,ISNUMBER(J20)=TRUE),'Prijava ekipa i izvlačenje br.'!A12,IF(AND(ISNUMBER('Prijava ekipa i izvlačenje br.'!F12)=TRUE,COUNTIF('Prijava ekipa i izvlačenje br.'!$E12,"B")=1),'Prijava ekipa i izvlačenje br.'!F12,IF(AND(ISNUMBER('Prijava ekipa i izvlačenje br.'!I12)=TRUE,COUNTIF('Prijava ekipa i izvlačenje br.'!$H12,"B")=1),'Prijava ekipa i izvlačenje br.'!I12,IF(AND(ISNUMBER('Prijava ekipa i izvlačenje br.'!L12)=TRUE,COUNTIF('Prijava ekipa i izvlačenje br.'!$K12,"B")=1),'Prijava ekipa i izvlačenje br.'!L12,IF(AND(ISNUMBER('Prijava ekipa i izvlačenje br.'!O12)=TRUE,COUNTIF('Prijava ekipa i izvlačenje br.'!$N12,"B")=1),'Prijava ekipa i izvlačenje br.'!O12,IF(AND(ISNUMBER('Prijava ekipa i izvlačenje br.'!R12)=TRUE,COUNTIF('Prijava ekipa i izvlačenje br.'!$Q12,"B")=1),'Prijava ekipa i izvlačenje br.'!R12,""))))))</f>
      </c>
      <c r="J20" s="112">
        <f>IF(ISBLANK('Upis rezultata B sektora'!F12)=TRUE,"",'Upis rezultata B sektora'!F12)</f>
      </c>
      <c r="K20" s="112">
        <f>IF(ISBLANK('Upis rezultata B sektora'!B12)=TRUE,"",'Upis rezultata B sektora'!B12)</f>
      </c>
      <c r="L20" s="158">
        <f t="shared" si="5"/>
      </c>
      <c r="M20" s="94">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c>
      <c r="N20" s="95">
        <f>IF(AND(ISNUMBER('Prijava ekipa i izvlačenje br.'!A12)=TRUE,ISNUMBER(O20)),'Prijava ekipa i izvlačenje br.'!A12,IF(AND(ISNUMBER('Prijava ekipa i izvlačenje br.'!F12)=TRUE,COUNTIF('Prijava ekipa i izvlačenje br.'!$E12,"C")=1),'Prijava ekipa i izvlačenje br.'!F12,IF(AND(ISNUMBER('Prijava ekipa i izvlačenje br.'!I12)=TRUE,COUNTIF('Prijava ekipa i izvlačenje br.'!$H12,"C")=1),'Prijava ekipa i izvlačenje br.'!I12,IF(AND(ISNUMBER('Prijava ekipa i izvlačenje br.'!L12)=TRUE,COUNTIF('Prijava ekipa i izvlačenje br.'!$K12,"C")=1),'Prijava ekipa i izvlačenje br.'!L12,IF(AND(ISNUMBER('Prijava ekipa i izvlačenje br.'!O12)=TRUE,COUNTIF('Prijava ekipa i izvlačenje br.'!$N12,"C")=1),'Prijava ekipa i izvlačenje br.'!O12,IF(AND(ISNUMBER('Prijava ekipa i izvlačenje br.'!R12)=TRUE,COUNTIF('Prijava ekipa i izvlačenje br.'!$Q12,"C")=1),'Prijava ekipa i izvlačenje br.'!R12,""))))))</f>
      </c>
      <c r="O20" s="112">
        <f>IF(ISBLANK('Upis rezultata C sektora'!F12)=TRUE,"",'Upis rezultata C sektora'!F12)</f>
      </c>
      <c r="P20" s="112">
        <f>IF(ISBLANK('Upis rezultata C sektora'!B12)=TRUE,"",'Upis rezultata C sektora'!B12)</f>
      </c>
      <c r="Q20" s="155">
        <f t="shared" si="6"/>
      </c>
      <c r="R20" s="157">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c>
      <c r="S20" s="95">
        <f>IF(AND(ISNUMBER('Prijava ekipa i izvlačenje br.'!A12)=TRUE,ISNUMBER(T20)=TRUE),'Prijava ekipa i izvlačenje br.'!A12,IF(AND(ISNUMBER('Prijava ekipa i izvlačenje br.'!F12)=TRUE,COUNTIF('Prijava ekipa i izvlačenje br.'!$E12,"D")=1),'Prijava ekipa i izvlačenje br.'!F12,IF(AND(ISNUMBER('Prijava ekipa i izvlačenje br.'!I12)=TRUE,COUNTIF('Prijava ekipa i izvlačenje br.'!$H12,"D")=1),'Prijava ekipa i izvlačenje br.'!I12,IF(AND(ISNUMBER('Prijava ekipa i izvlačenje br.'!L12)=TRUE,COUNTIF('Prijava ekipa i izvlačenje br.'!$K12,"D")=1),'Prijava ekipa i izvlačenje br.'!L12,IF(AND(ISNUMBER('Prijava ekipa i izvlačenje br.'!O12)=TRUE,COUNTIF('Prijava ekipa i izvlačenje br.'!$N12,"D")=1),'Prijava ekipa i izvlačenje br.'!O12,IF(AND(ISNUMBER('Prijava ekipa i izvlačenje br.'!R12)=TRUE,COUNTIF('Prijava ekipa i izvlačenje br.'!$Q12,"D")=1),'Prijava ekipa i izvlačenje br.'!R12,""))))))</f>
      </c>
      <c r="T20" s="112">
        <f>IF(ISBLANK('Upis rezultata D sektora'!F12)=TRUE,"",'Upis rezultata D sektora'!F12)</f>
      </c>
      <c r="U20" s="112">
        <f>IF(ISBLANK('Upis rezultata D sektora'!B12)=TRUE,"",'Upis rezultata D sektora'!B12)</f>
      </c>
      <c r="V20" s="158">
        <f t="shared" si="7"/>
      </c>
      <c r="W20" s="94">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c>
      <c r="X20" s="95">
        <f>IF(AND(ISNUMBER('Prijava ekipa i izvlačenje br.'!A12)=TRUE,ISNUMBER(Y20)=TRUE),'Prijava ekipa i izvlačenje br.'!A12,IF(AND(ISNUMBER('Prijava ekipa i izvlačenje br.'!F12)=TRUE,COUNTIF('Prijava ekipa i izvlačenje br.'!$E12,"E")=1),'Prijava ekipa i izvlačenje br.'!F12,IF(AND(ISNUMBER('Prijava ekipa i izvlačenje br.'!I12)=TRUE,COUNTIF('Prijava ekipa i izvlačenje br.'!$H12,"E")=1),'Prijava ekipa i izvlačenje br.'!I12,IF(AND(ISNUMBER('Prijava ekipa i izvlačenje br.'!L12)=TRUE,COUNTIF('Prijava ekipa i izvlačenje br.'!$K12,"E")=1),'Prijava ekipa i izvlačenje br.'!L12,IF(AND(ISNUMBER('Prijava ekipa i izvlačenje br.'!O12)=TRUE,COUNTIF('Prijava ekipa i izvlačenje br.'!$N12,"E")=1),'Prijava ekipa i izvlačenje br.'!O12,IF(AND(ISNUMBER('Prijava ekipa i izvlačenje br.'!R12)=TRUE,COUNTIF('Prijava ekipa i izvlačenje br.'!$Q12,"E")=1),'Prijava ekipa i izvlačenje br.'!R12,""))))))</f>
      </c>
      <c r="Y20" s="112">
        <f>IF(ISBLANK('Upis rezultata E sektora'!F12)=TRUE,"",'Upis rezultata E sektora'!F12)</f>
      </c>
      <c r="Z20" s="112">
        <f>IF(ISBLANK('Upis rezultata E sektora'!B12)=TRUE,"",'Upis rezultata E sektora'!B12)</f>
      </c>
      <c r="AA20" s="117">
        <f t="shared" si="8"/>
      </c>
      <c r="AB20" s="113">
        <f t="shared" si="9"/>
      </c>
      <c r="AC20" s="112">
        <f t="shared" si="10"/>
      </c>
      <c r="AD20" s="148">
        <f t="shared" si="0"/>
      </c>
      <c r="AG20" s="197">
        <f t="shared" si="11"/>
        <v>0</v>
      </c>
      <c r="AH20" s="68">
        <f t="shared" si="12"/>
      </c>
      <c r="AI20" s="68">
        <f t="shared" si="13"/>
        <v>0</v>
      </c>
      <c r="AJ20" s="68">
        <f t="shared" si="1"/>
      </c>
      <c r="AK20" s="68">
        <f t="shared" si="14"/>
        <v>0</v>
      </c>
      <c r="AL20" s="68">
        <f t="shared" si="2"/>
      </c>
      <c r="AM20" s="68">
        <f t="shared" si="3"/>
      </c>
    </row>
    <row r="21" spans="1:39" s="72" customFormat="1" ht="52.5" customHeight="1" thickBot="1">
      <c r="A21" s="233">
        <f>IF(OR(ISNUMBER(D21)=TRUE,ISNUMBER(I21)=TRUE,ISNUMBER(N21)=TRUE,ISNUMBER(S21)=TRUE,ISNUMBER(X21)=TRUE),12,"")</f>
      </c>
      <c r="B21" s="162">
        <f>IF(ISBLANK('Prijava ekipa i izvlačenje br.'!C13)=TRUE,"",'Prijava ekipa i izvlačenje br.'!C13)</f>
      </c>
      <c r="C21" s="164">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c>
      <c r="D21" s="149">
        <f>IF(AND(ISNUMBER('Prijava ekipa i izvlačenje br.'!A13)=TRUE,ISNUMBER(E21)=TRUE),'Prijava ekipa i izvlačenje br.'!A13,IF(AND(ISNUMBER('Prijava ekipa i izvlačenje br.'!F13)=TRUE,COUNTIF('Prijava ekipa i izvlačenje br.'!$E13,"A")=1),'Prijava ekipa i izvlačenje br.'!F13,IF(AND(ISNUMBER('Prijava ekipa i izvlačenje br.'!I13)=TRUE,COUNTIF('Prijava ekipa i izvlačenje br.'!$H13,"A")=1),'Prijava ekipa i izvlačenje br.'!I13,IF(AND(ISNUMBER('Prijava ekipa i izvlačenje br.'!L13)=TRUE,COUNTIF('Prijava ekipa i izvlačenje br.'!$K13,"A")=1),'Prijava ekipa i izvlačenje br.'!L13,IF(AND(ISNUMBER('Prijava ekipa i izvlačenje br.'!O13)=TRUE,COUNTIF('Prijava ekipa i izvlačenje br.'!$N13,"A")=1),'Prijava ekipa i izvlačenje br.'!O13,IF(AND(ISNUMBER('Prijava ekipa i izvlačenje br.'!R13)=TRUE,COUNTIF('Prijava ekipa i izvlačenje br.'!$Q13,"A")=1),'Prijava ekipa i izvlačenje br.'!R13,""))))))</f>
      </c>
      <c r="E21" s="150">
        <f>IF(ISBLANK('Upis rezultata A sektora'!F13)=TRUE,"",'Upis rezultata A sektora'!F13)</f>
      </c>
      <c r="F21" s="150">
        <f>IF(ISBLANK('Upis rezultata A sektora'!B13)=TRUE,"",'Upis rezultata A sektora'!B13)</f>
      </c>
      <c r="G21" s="153">
        <f t="shared" si="4"/>
      </c>
      <c r="H21" s="159">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c>
      <c r="I21" s="149">
        <f>IF(AND(ISNUMBER('Prijava ekipa i izvlačenje br.'!A13)=TRUE,ISNUMBER(J21)=TRUE),'Prijava ekipa i izvlačenje br.'!A13,IF(AND(ISNUMBER('Prijava ekipa i izvlačenje br.'!F13)=TRUE,COUNTIF('Prijava ekipa i izvlačenje br.'!$E13,"B")=1),'Prijava ekipa i izvlačenje br.'!F13,IF(AND(ISNUMBER('Prijava ekipa i izvlačenje br.'!I13)=TRUE,COUNTIF('Prijava ekipa i izvlačenje br.'!$H13,"B")=1),'Prijava ekipa i izvlačenje br.'!I13,IF(AND(ISNUMBER('Prijava ekipa i izvlačenje br.'!L13)=TRUE,COUNTIF('Prijava ekipa i izvlačenje br.'!$K13,"B")=1),'Prijava ekipa i izvlačenje br.'!L13,IF(AND(ISNUMBER('Prijava ekipa i izvlačenje br.'!O13)=TRUE,COUNTIF('Prijava ekipa i izvlačenje br.'!$N13,"B")=1),'Prijava ekipa i izvlačenje br.'!O13,IF(AND(ISNUMBER('Prijava ekipa i izvlačenje br.'!R13)=TRUE,COUNTIF('Prijava ekipa i izvlačenje br.'!$Q13,"B")=1),'Prijava ekipa i izvlačenje br.'!R13,""))))))</f>
      </c>
      <c r="J21" s="150">
        <f>IF(ISBLANK('Upis rezultata B sektora'!F13)=TRUE,"",'Upis rezultata B sektora'!F13)</f>
      </c>
      <c r="K21" s="150">
        <f>IF(ISBLANK('Upis rezultata B sektora'!B13)=TRUE,"",'Upis rezultata B sektora'!B13)</f>
      </c>
      <c r="L21" s="160">
        <f t="shared" si="5"/>
      </c>
      <c r="M21" s="151">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c>
      <c r="N21" s="149">
        <f>IF(AND(ISNUMBER('Prijava ekipa i izvlačenje br.'!A13)=TRUE,ISNUMBER(O21)),'Prijava ekipa i izvlačenje br.'!A13,IF(AND(ISNUMBER('Prijava ekipa i izvlačenje br.'!F13)=TRUE,COUNTIF('Prijava ekipa i izvlačenje br.'!$E13,"C")=1),'Prijava ekipa i izvlačenje br.'!F13,IF(AND(ISNUMBER('Prijava ekipa i izvlačenje br.'!I13)=TRUE,COUNTIF('Prijava ekipa i izvlačenje br.'!$H13,"C")=1),'Prijava ekipa i izvlačenje br.'!I13,IF(AND(ISNUMBER('Prijava ekipa i izvlačenje br.'!L13)=TRUE,COUNTIF('Prijava ekipa i izvlačenje br.'!$K13,"C")=1),'Prijava ekipa i izvlačenje br.'!L13,IF(AND(ISNUMBER('Prijava ekipa i izvlačenje br.'!O13)=TRUE,COUNTIF('Prijava ekipa i izvlačenje br.'!$N13,"C")=1),'Prijava ekipa i izvlačenje br.'!O13,IF(AND(ISNUMBER('Prijava ekipa i izvlačenje br.'!R13)=TRUE,COUNTIF('Prijava ekipa i izvlačenje br.'!$Q13,"C")=1),'Prijava ekipa i izvlačenje br.'!R13,""))))))</f>
      </c>
      <c r="O21" s="150">
        <f>IF(ISBLANK('Upis rezultata C sektora'!F13)=TRUE,"",'Upis rezultata C sektora'!F13)</f>
      </c>
      <c r="P21" s="150">
        <f>IF(ISBLANK('Upis rezultata C sektora'!B13)=TRUE,"",'Upis rezultata C sektora'!B13)</f>
      </c>
      <c r="Q21" s="156">
        <f t="shared" si="6"/>
      </c>
      <c r="R21" s="159">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c>
      <c r="S21" s="149">
        <f>IF(AND(ISNUMBER('Prijava ekipa i izvlačenje br.'!A13)=TRUE,ISNUMBER(T21)=TRUE),'Prijava ekipa i izvlačenje br.'!A13,IF(AND(ISNUMBER('Prijava ekipa i izvlačenje br.'!F13)=TRUE,COUNTIF('Prijava ekipa i izvlačenje br.'!$E13,"D")=1),'Prijava ekipa i izvlačenje br.'!F13,IF(AND(ISNUMBER('Prijava ekipa i izvlačenje br.'!I13)=TRUE,COUNTIF('Prijava ekipa i izvlačenje br.'!$H13,"D")=1),'Prijava ekipa i izvlačenje br.'!I13,IF(AND(ISNUMBER('Prijava ekipa i izvlačenje br.'!L13)=TRUE,COUNTIF('Prijava ekipa i izvlačenje br.'!$K13,"D")=1),'Prijava ekipa i izvlačenje br.'!L13,IF(AND(ISNUMBER('Prijava ekipa i izvlačenje br.'!O13)=TRUE,COUNTIF('Prijava ekipa i izvlačenje br.'!$N13,"D")=1),'Prijava ekipa i izvlačenje br.'!O13,IF(AND(ISNUMBER('Prijava ekipa i izvlačenje br.'!R13)=TRUE,COUNTIF('Prijava ekipa i izvlačenje br.'!$Q13,"D")=1),'Prijava ekipa i izvlačenje br.'!R13,""))))))</f>
      </c>
      <c r="T21" s="150">
        <f>IF(ISBLANK('Upis rezultata D sektora'!F13)=TRUE,"",'Upis rezultata D sektora'!F13)</f>
      </c>
      <c r="U21" s="150">
        <f>IF(ISBLANK('Upis rezultata D sektora'!B13)=TRUE,"",'Upis rezultata D sektora'!B13)</f>
      </c>
      <c r="V21" s="160">
        <f t="shared" si="7"/>
      </c>
      <c r="W21" s="151">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c>
      <c r="X21" s="149">
        <f>IF(AND(ISNUMBER('Prijava ekipa i izvlačenje br.'!A13)=TRUE,ISNUMBER(Y21)=TRUE),'Prijava ekipa i izvlačenje br.'!A13,IF(AND(ISNUMBER('Prijava ekipa i izvlačenje br.'!F13)=TRUE,COUNTIF('Prijava ekipa i izvlačenje br.'!$E13,"E")=1),'Prijava ekipa i izvlačenje br.'!F13,IF(AND(ISNUMBER('Prijava ekipa i izvlačenje br.'!I13)=TRUE,COUNTIF('Prijava ekipa i izvlačenje br.'!$H13,"E")=1),'Prijava ekipa i izvlačenje br.'!I13,IF(AND(ISNUMBER('Prijava ekipa i izvlačenje br.'!L13)=TRUE,COUNTIF('Prijava ekipa i izvlačenje br.'!$K13,"E")=1),'Prijava ekipa i izvlačenje br.'!L13,IF(AND(ISNUMBER('Prijava ekipa i izvlačenje br.'!O13)=TRUE,COUNTIF('Prijava ekipa i izvlačenje br.'!$N13,"E")=1),'Prijava ekipa i izvlačenje br.'!O13,IF(AND(ISNUMBER('Prijava ekipa i izvlačenje br.'!R13)=TRUE,COUNTIF('Prijava ekipa i izvlačenje br.'!$Q13,"E")=1),'Prijava ekipa i izvlačenje br.'!R13,""))))))</f>
      </c>
      <c r="Y21" s="150">
        <f>IF(ISBLANK('Upis rezultata E sektora'!F13)=TRUE,"",'Upis rezultata E sektora'!F13)</f>
      </c>
      <c r="Z21" s="150">
        <f>IF(ISBLANK('Upis rezultata E sektora'!B13)=TRUE,"",'Upis rezultata E sektora'!B13)</f>
      </c>
      <c r="AA21" s="153">
        <f t="shared" si="8"/>
      </c>
      <c r="AB21" s="152">
        <f t="shared" si="9"/>
      </c>
      <c r="AC21" s="198">
        <f t="shared" si="10"/>
      </c>
      <c r="AD21" s="154">
        <f>IF(AND(ISNUMBER(E21)=FALSE,ISNUMBER(J21)=FALSE,ISNUMBER(O21)=FALSE,ISNUMBER(T21)=FALSE,ISNUMBER(Y21)=FALSE,ISNUMBER(AB21)=TRUE),(COUNTA(B$10:B$21)-COUNTIF(B$10:B$21,""))+1,IF(ISNUMBER(AB21)=TRUE,RANK(AH21,$AH$10:$AH$21,1),""))</f>
      </c>
      <c r="AG21" s="197">
        <f t="shared" si="11"/>
        <v>0</v>
      </c>
      <c r="AH21" s="68">
        <f t="shared" si="12"/>
      </c>
      <c r="AI21" s="68">
        <f t="shared" si="13"/>
        <v>0</v>
      </c>
      <c r="AJ21" s="68">
        <f t="shared" si="1"/>
      </c>
      <c r="AK21" s="68">
        <f t="shared" si="14"/>
        <v>0</v>
      </c>
      <c r="AL21" s="68">
        <f t="shared" si="2"/>
      </c>
      <c r="AM21" s="68">
        <f t="shared" si="3"/>
      </c>
    </row>
    <row r="22" spans="26:39" ht="20.25">
      <c r="Z22" s="26"/>
      <c r="AA22" s="71"/>
      <c r="AJ22" s="68">
        <f aca="true" t="shared" si="15" ref="AJ22:AJ33">IF(ISNUMBER(K10)=TRUE,K10,"")</f>
      </c>
      <c r="AK22" s="68">
        <f>IF(ISNUMBER(J10)=TRUE,J10,0)</f>
        <v>0</v>
      </c>
      <c r="AL22" s="68">
        <f t="shared" si="2"/>
      </c>
      <c r="AM22" s="68">
        <f t="shared" si="3"/>
      </c>
    </row>
    <row r="23" spans="26:39" ht="20.25">
      <c r="Z23" s="26"/>
      <c r="AA23" s="71"/>
      <c r="AJ23" s="68">
        <f t="shared" si="15"/>
      </c>
      <c r="AK23" s="68">
        <f aca="true" t="shared" si="16" ref="AK23:AK33">IF(ISNUMBER(J11)=TRUE,J11,0)</f>
        <v>0</v>
      </c>
      <c r="AL23" s="68">
        <f t="shared" si="2"/>
      </c>
      <c r="AM23" s="68">
        <f t="shared" si="3"/>
      </c>
    </row>
    <row r="24" spans="36:39" ht="20.25">
      <c r="AJ24" s="68">
        <f t="shared" si="15"/>
      </c>
      <c r="AK24" s="68">
        <f t="shared" si="16"/>
        <v>0</v>
      </c>
      <c r="AL24" s="68">
        <f t="shared" si="2"/>
      </c>
      <c r="AM24" s="68">
        <f t="shared" si="3"/>
      </c>
    </row>
    <row r="25" spans="2:39" ht="27">
      <c r="B25" s="93" t="s">
        <v>143</v>
      </c>
      <c r="N25" s="93" t="s">
        <v>115</v>
      </c>
      <c r="AB25" s="93" t="s">
        <v>116</v>
      </c>
      <c r="AJ25" s="68">
        <f t="shared" si="15"/>
      </c>
      <c r="AK25" s="68">
        <f t="shared" si="16"/>
        <v>0</v>
      </c>
      <c r="AL25" s="68">
        <f t="shared" si="2"/>
      </c>
      <c r="AM25" s="68">
        <f t="shared" si="3"/>
      </c>
    </row>
    <row r="26" spans="2:39" ht="27">
      <c r="B26" s="93">
        <f>IF(ISBLANK('Organizacija natjecanja'!$H$20)=TRUE,"",'Organizacija natjecanja'!$H$20)</f>
      </c>
      <c r="N26" s="93">
        <f>IF(ISBLANK('Organizacija natjecanja'!$H$16)=TRUE,"",'Organizacija natjecanja'!$H$16)</f>
      </c>
      <c r="AB26" s="93">
        <f>IF(ISBLANK('Organizacija natjecanja'!$H$18)=TRUE,"",'Organizacija natjecanja'!$H$18)</f>
      </c>
      <c r="AJ26" s="68">
        <f t="shared" si="15"/>
      </c>
      <c r="AK26" s="68">
        <f t="shared" si="16"/>
        <v>0</v>
      </c>
      <c r="AL26" s="68">
        <f t="shared" si="2"/>
      </c>
      <c r="AM26" s="68">
        <f t="shared" si="3"/>
      </c>
    </row>
    <row r="27" spans="36:39" ht="20.25">
      <c r="AJ27" s="68">
        <f t="shared" si="15"/>
      </c>
      <c r="AK27" s="68">
        <f t="shared" si="16"/>
        <v>0</v>
      </c>
      <c r="AL27" s="68">
        <f t="shared" si="2"/>
      </c>
      <c r="AM27" s="68">
        <f t="shared" si="3"/>
      </c>
    </row>
    <row r="28" spans="36:39" ht="20.25">
      <c r="AJ28" s="68">
        <f t="shared" si="15"/>
      </c>
      <c r="AK28" s="68">
        <f t="shared" si="16"/>
        <v>0</v>
      </c>
      <c r="AL28" s="68">
        <f t="shared" si="2"/>
      </c>
      <c r="AM28" s="68">
        <f t="shared" si="3"/>
      </c>
    </row>
    <row r="29" spans="36:39" ht="20.25">
      <c r="AJ29" s="68">
        <f t="shared" si="15"/>
      </c>
      <c r="AK29" s="68">
        <f t="shared" si="16"/>
        <v>0</v>
      </c>
      <c r="AL29" s="68">
        <f t="shared" si="2"/>
      </c>
      <c r="AM29" s="68">
        <f t="shared" si="3"/>
      </c>
    </row>
    <row r="30" spans="36:39" ht="20.25">
      <c r="AJ30" s="68">
        <f t="shared" si="15"/>
      </c>
      <c r="AK30" s="68">
        <f t="shared" si="16"/>
        <v>0</v>
      </c>
      <c r="AL30" s="68">
        <f t="shared" si="2"/>
      </c>
      <c r="AM30" s="68">
        <f t="shared" si="3"/>
      </c>
    </row>
    <row r="31" spans="36:39" ht="20.25">
      <c r="AJ31" s="68">
        <f t="shared" si="15"/>
      </c>
      <c r="AK31" s="68">
        <f t="shared" si="16"/>
        <v>0</v>
      </c>
      <c r="AL31" s="68">
        <f t="shared" si="2"/>
      </c>
      <c r="AM31" s="68">
        <f t="shared" si="3"/>
      </c>
    </row>
    <row r="32" spans="36:39" ht="20.25">
      <c r="AJ32" s="68">
        <f t="shared" si="15"/>
      </c>
      <c r="AK32" s="68">
        <f t="shared" si="16"/>
        <v>0</v>
      </c>
      <c r="AL32" s="68">
        <f t="shared" si="2"/>
      </c>
      <c r="AM32" s="68">
        <f t="shared" si="3"/>
      </c>
    </row>
    <row r="33" spans="36:39" ht="20.25">
      <c r="AJ33" s="68">
        <f t="shared" si="15"/>
      </c>
      <c r="AK33" s="68">
        <f t="shared" si="16"/>
        <v>0</v>
      </c>
      <c r="AL33" s="68">
        <f t="shared" si="2"/>
      </c>
      <c r="AM33" s="68">
        <f t="shared" si="3"/>
      </c>
    </row>
    <row r="34" spans="36:39" ht="20.25">
      <c r="AJ34" s="68">
        <f aca="true" t="shared" si="17" ref="AJ34:AJ45">IF(ISNUMBER(P10)=TRUE,P10,"")</f>
      </c>
      <c r="AK34" s="68">
        <f>IF(ISNUMBER(O10)=TRUE,O10,0)</f>
        <v>0</v>
      </c>
      <c r="AL34" s="68">
        <f t="shared" si="2"/>
      </c>
      <c r="AM34" s="68">
        <f t="shared" si="3"/>
      </c>
    </row>
    <row r="35" spans="36:39" ht="20.25">
      <c r="AJ35" s="68">
        <f t="shared" si="17"/>
      </c>
      <c r="AK35" s="68">
        <f aca="true" t="shared" si="18" ref="AK35:AK45">IF(ISNUMBER(O11)=TRUE,O11,0)</f>
        <v>0</v>
      </c>
      <c r="AL35" s="68">
        <f t="shared" si="2"/>
      </c>
      <c r="AM35" s="68">
        <f t="shared" si="3"/>
      </c>
    </row>
    <row r="36" spans="36:39" ht="20.25">
      <c r="AJ36" s="68">
        <f t="shared" si="17"/>
      </c>
      <c r="AK36" s="68">
        <f t="shared" si="18"/>
        <v>0</v>
      </c>
      <c r="AL36" s="68">
        <f t="shared" si="2"/>
      </c>
      <c r="AM36" s="68">
        <f t="shared" si="3"/>
      </c>
    </row>
    <row r="37" spans="36:39" ht="20.25">
      <c r="AJ37" s="68">
        <f t="shared" si="17"/>
      </c>
      <c r="AK37" s="68">
        <f t="shared" si="18"/>
        <v>0</v>
      </c>
      <c r="AL37" s="68">
        <f t="shared" si="2"/>
      </c>
      <c r="AM37" s="68">
        <f t="shared" si="3"/>
      </c>
    </row>
    <row r="38" spans="36:39" ht="20.25">
      <c r="AJ38" s="68">
        <f t="shared" si="17"/>
      </c>
      <c r="AK38" s="68">
        <f t="shared" si="18"/>
        <v>0</v>
      </c>
      <c r="AL38" s="68">
        <f t="shared" si="2"/>
      </c>
      <c r="AM38" s="68">
        <f t="shared" si="3"/>
      </c>
    </row>
    <row r="39" spans="36:39" ht="20.25">
      <c r="AJ39" s="68">
        <f t="shared" si="17"/>
      </c>
      <c r="AK39" s="68">
        <f t="shared" si="18"/>
        <v>0</v>
      </c>
      <c r="AL39" s="68">
        <f t="shared" si="2"/>
      </c>
      <c r="AM39" s="68">
        <f t="shared" si="3"/>
      </c>
    </row>
    <row r="40" spans="36:39" ht="20.25">
      <c r="AJ40" s="68">
        <f t="shared" si="17"/>
      </c>
      <c r="AK40" s="68">
        <f t="shared" si="18"/>
        <v>0</v>
      </c>
      <c r="AL40" s="68">
        <f t="shared" si="2"/>
      </c>
      <c r="AM40" s="68">
        <f t="shared" si="3"/>
      </c>
    </row>
    <row r="41" spans="36:39" ht="20.25">
      <c r="AJ41" s="68">
        <f t="shared" si="17"/>
      </c>
      <c r="AK41" s="68">
        <f t="shared" si="18"/>
        <v>0</v>
      </c>
      <c r="AL41" s="68">
        <f t="shared" si="2"/>
      </c>
      <c r="AM41" s="68">
        <f t="shared" si="3"/>
      </c>
    </row>
    <row r="42" spans="36:39" ht="20.25">
      <c r="AJ42" s="68">
        <f t="shared" si="17"/>
      </c>
      <c r="AK42" s="68">
        <f t="shared" si="18"/>
        <v>0</v>
      </c>
      <c r="AL42" s="68">
        <f aca="true" t="shared" si="19" ref="AL42:AL69">IF(ISNUMBER(AM42)=TRUE,RANK(AM42,$AM$10:$AM$69,1),"")</f>
      </c>
      <c r="AM42" s="68">
        <f aca="true" t="shared" si="20" ref="AM42:AM73">IF(ISNUMBER(AJ42)=TRUE,AJ42-AK42/100000,"")</f>
      </c>
    </row>
    <row r="43" spans="36:39" ht="20.25">
      <c r="AJ43" s="68">
        <f t="shared" si="17"/>
      </c>
      <c r="AK43" s="68">
        <f t="shared" si="18"/>
        <v>0</v>
      </c>
      <c r="AL43" s="68">
        <f t="shared" si="19"/>
      </c>
      <c r="AM43" s="68">
        <f t="shared" si="20"/>
      </c>
    </row>
    <row r="44" spans="36:39" ht="20.25">
      <c r="AJ44" s="68">
        <f t="shared" si="17"/>
      </c>
      <c r="AK44" s="68">
        <f t="shared" si="18"/>
        <v>0</v>
      </c>
      <c r="AL44" s="68">
        <f t="shared" si="19"/>
      </c>
      <c r="AM44" s="68">
        <f t="shared" si="20"/>
      </c>
    </row>
    <row r="45" spans="36:39" ht="20.25">
      <c r="AJ45" s="68">
        <f t="shared" si="17"/>
      </c>
      <c r="AK45" s="68">
        <f t="shared" si="18"/>
        <v>0</v>
      </c>
      <c r="AL45" s="68">
        <f t="shared" si="19"/>
      </c>
      <c r="AM45" s="68">
        <f t="shared" si="20"/>
      </c>
    </row>
    <row r="46" spans="36:39" ht="20.25">
      <c r="AJ46" s="68">
        <f aca="true" t="shared" si="21" ref="AJ46:AJ57">IF(ISNUMBER(U10)=TRUE,U10,"")</f>
      </c>
      <c r="AK46" s="68">
        <f>IF(ISNUMBER(T10)=TRUE,T10,0)</f>
        <v>0</v>
      </c>
      <c r="AL46" s="68">
        <f t="shared" si="19"/>
      </c>
      <c r="AM46" s="68">
        <f t="shared" si="20"/>
      </c>
    </row>
    <row r="47" spans="36:39" ht="20.25">
      <c r="AJ47" s="68">
        <f t="shared" si="21"/>
      </c>
      <c r="AK47" s="68">
        <f aca="true" t="shared" si="22" ref="AK47:AK57">IF(ISNUMBER(T11)=TRUE,T11,0)</f>
        <v>0</v>
      </c>
      <c r="AL47" s="68">
        <f t="shared" si="19"/>
      </c>
      <c r="AM47" s="68">
        <f t="shared" si="20"/>
      </c>
    </row>
    <row r="48" spans="36:39" ht="20.25">
      <c r="AJ48" s="68">
        <f t="shared" si="21"/>
      </c>
      <c r="AK48" s="68">
        <f t="shared" si="22"/>
        <v>0</v>
      </c>
      <c r="AL48" s="68">
        <f t="shared" si="19"/>
      </c>
      <c r="AM48" s="68">
        <f t="shared" si="20"/>
      </c>
    </row>
    <row r="49" spans="36:39" ht="20.25">
      <c r="AJ49" s="68">
        <f t="shared" si="21"/>
      </c>
      <c r="AK49" s="68">
        <f t="shared" si="22"/>
        <v>0</v>
      </c>
      <c r="AL49" s="68">
        <f t="shared" si="19"/>
      </c>
      <c r="AM49" s="68">
        <f t="shared" si="20"/>
      </c>
    </row>
    <row r="50" spans="36:39" ht="20.25">
      <c r="AJ50" s="68">
        <f t="shared" si="21"/>
      </c>
      <c r="AK50" s="68">
        <f t="shared" si="22"/>
        <v>0</v>
      </c>
      <c r="AL50" s="68">
        <f t="shared" si="19"/>
      </c>
      <c r="AM50" s="68">
        <f t="shared" si="20"/>
      </c>
    </row>
    <row r="51" spans="36:39" ht="20.25">
      <c r="AJ51" s="68">
        <f t="shared" si="21"/>
      </c>
      <c r="AK51" s="68">
        <f t="shared" si="22"/>
        <v>0</v>
      </c>
      <c r="AL51" s="68">
        <f t="shared" si="19"/>
      </c>
      <c r="AM51" s="68">
        <f t="shared" si="20"/>
      </c>
    </row>
    <row r="52" spans="36:39" ht="20.25">
      <c r="AJ52" s="68">
        <f t="shared" si="21"/>
      </c>
      <c r="AK52" s="68">
        <f t="shared" si="22"/>
        <v>0</v>
      </c>
      <c r="AL52" s="68">
        <f t="shared" si="19"/>
      </c>
      <c r="AM52" s="68">
        <f t="shared" si="20"/>
      </c>
    </row>
    <row r="53" spans="36:39" ht="20.25">
      <c r="AJ53" s="68">
        <f t="shared" si="21"/>
      </c>
      <c r="AK53" s="68">
        <f t="shared" si="22"/>
        <v>0</v>
      </c>
      <c r="AL53" s="68">
        <f t="shared" si="19"/>
      </c>
      <c r="AM53" s="68">
        <f t="shared" si="20"/>
      </c>
    </row>
    <row r="54" spans="36:39" ht="20.25">
      <c r="AJ54" s="68">
        <f t="shared" si="21"/>
      </c>
      <c r="AK54" s="68">
        <f t="shared" si="22"/>
        <v>0</v>
      </c>
      <c r="AL54" s="68">
        <f t="shared" si="19"/>
      </c>
      <c r="AM54" s="68">
        <f t="shared" si="20"/>
      </c>
    </row>
    <row r="55" spans="36:39" ht="20.25">
      <c r="AJ55" s="68">
        <f t="shared" si="21"/>
      </c>
      <c r="AK55" s="68">
        <f t="shared" si="22"/>
        <v>0</v>
      </c>
      <c r="AL55" s="68">
        <f t="shared" si="19"/>
      </c>
      <c r="AM55" s="68">
        <f t="shared" si="20"/>
      </c>
    </row>
    <row r="56" spans="36:39" ht="20.25">
      <c r="AJ56" s="68">
        <f t="shared" si="21"/>
      </c>
      <c r="AK56" s="68">
        <f t="shared" si="22"/>
        <v>0</v>
      </c>
      <c r="AL56" s="68">
        <f t="shared" si="19"/>
      </c>
      <c r="AM56" s="68">
        <f t="shared" si="20"/>
      </c>
    </row>
    <row r="57" spans="36:39" ht="20.25">
      <c r="AJ57" s="68">
        <f t="shared" si="21"/>
      </c>
      <c r="AK57" s="68">
        <f t="shared" si="22"/>
        <v>0</v>
      </c>
      <c r="AL57" s="68">
        <f t="shared" si="19"/>
      </c>
      <c r="AM57" s="68">
        <f t="shared" si="20"/>
      </c>
    </row>
    <row r="58" spans="36:39" ht="20.25">
      <c r="AJ58" s="68">
        <f aca="true" t="shared" si="23" ref="AJ58:AJ69">IF(ISNUMBER(Z10)=TRUE,Z10,"")</f>
      </c>
      <c r="AK58" s="68">
        <f>IF(ISNUMBER(Y10)=TRUE,Y10,0)</f>
        <v>0</v>
      </c>
      <c r="AL58" s="68">
        <f t="shared" si="19"/>
      </c>
      <c r="AM58" s="68">
        <f t="shared" si="20"/>
      </c>
    </row>
    <row r="59" spans="36:39" ht="20.25">
      <c r="AJ59" s="68">
        <f t="shared" si="23"/>
      </c>
      <c r="AK59" s="68">
        <f aca="true" t="shared" si="24" ref="AK59:AK69">IF(ISNUMBER(Y11)=TRUE,Y11,0)</f>
        <v>0</v>
      </c>
      <c r="AL59" s="68">
        <f t="shared" si="19"/>
      </c>
      <c r="AM59" s="68">
        <f t="shared" si="20"/>
      </c>
    </row>
    <row r="60" spans="36:39" ht="20.25">
      <c r="AJ60" s="68">
        <f t="shared" si="23"/>
      </c>
      <c r="AK60" s="68">
        <f t="shared" si="24"/>
        <v>0</v>
      </c>
      <c r="AL60" s="68">
        <f t="shared" si="19"/>
      </c>
      <c r="AM60" s="68">
        <f t="shared" si="20"/>
      </c>
    </row>
    <row r="61" spans="36:39" ht="20.25">
      <c r="AJ61" s="68">
        <f t="shared" si="23"/>
      </c>
      <c r="AK61" s="68">
        <f t="shared" si="24"/>
        <v>0</v>
      </c>
      <c r="AL61" s="68">
        <f t="shared" si="19"/>
      </c>
      <c r="AM61" s="68">
        <f t="shared" si="20"/>
      </c>
    </row>
    <row r="62" spans="36:39" ht="20.25">
      <c r="AJ62" s="68">
        <f t="shared" si="23"/>
      </c>
      <c r="AK62" s="68">
        <f t="shared" si="24"/>
        <v>0</v>
      </c>
      <c r="AL62" s="68">
        <f t="shared" si="19"/>
      </c>
      <c r="AM62" s="68">
        <f t="shared" si="20"/>
      </c>
    </row>
    <row r="63" spans="36:39" ht="20.25">
      <c r="AJ63" s="68">
        <f t="shared" si="23"/>
      </c>
      <c r="AK63" s="68">
        <f t="shared" si="24"/>
        <v>0</v>
      </c>
      <c r="AL63" s="68">
        <f t="shared" si="19"/>
      </c>
      <c r="AM63" s="68">
        <f t="shared" si="20"/>
      </c>
    </row>
    <row r="64" spans="36:39" ht="20.25">
      <c r="AJ64" s="68">
        <f t="shared" si="23"/>
      </c>
      <c r="AK64" s="68">
        <f t="shared" si="24"/>
        <v>0</v>
      </c>
      <c r="AL64" s="68">
        <f t="shared" si="19"/>
      </c>
      <c r="AM64" s="68">
        <f t="shared" si="20"/>
      </c>
    </row>
    <row r="65" spans="36:39" ht="20.25">
      <c r="AJ65" s="68">
        <f t="shared" si="23"/>
      </c>
      <c r="AK65" s="68">
        <f t="shared" si="24"/>
        <v>0</v>
      </c>
      <c r="AL65" s="68">
        <f t="shared" si="19"/>
      </c>
      <c r="AM65" s="68">
        <f t="shared" si="20"/>
      </c>
    </row>
    <row r="66" spans="36:39" ht="20.25">
      <c r="AJ66" s="68">
        <f t="shared" si="23"/>
      </c>
      <c r="AK66" s="68">
        <f t="shared" si="24"/>
        <v>0</v>
      </c>
      <c r="AL66" s="68">
        <f t="shared" si="19"/>
      </c>
      <c r="AM66" s="68">
        <f t="shared" si="20"/>
      </c>
    </row>
    <row r="67" spans="36:39" ht="20.25">
      <c r="AJ67" s="68">
        <f t="shared" si="23"/>
      </c>
      <c r="AK67" s="68">
        <f t="shared" si="24"/>
        <v>0</v>
      </c>
      <c r="AL67" s="68">
        <f t="shared" si="19"/>
      </c>
      <c r="AM67" s="68">
        <f t="shared" si="20"/>
      </c>
    </row>
    <row r="68" spans="36:39" ht="20.25">
      <c r="AJ68" s="68">
        <f t="shared" si="23"/>
      </c>
      <c r="AK68" s="68">
        <f t="shared" si="24"/>
        <v>0</v>
      </c>
      <c r="AL68" s="68">
        <f t="shared" si="19"/>
      </c>
      <c r="AM68" s="68">
        <f t="shared" si="20"/>
      </c>
    </row>
    <row r="69" spans="36:39" ht="20.25">
      <c r="AJ69" s="68">
        <f t="shared" si="23"/>
      </c>
      <c r="AK69" s="68">
        <f t="shared" si="24"/>
        <v>0</v>
      </c>
      <c r="AL69" s="68">
        <f t="shared" si="19"/>
      </c>
      <c r="AM69" s="68">
        <f t="shared" si="20"/>
      </c>
    </row>
    <row r="70" spans="36:39" ht="20.25">
      <c r="AJ70" s="68">
        <f>IF(ISNUMBER(#REF!)=TRUE,#REF!,"")</f>
      </c>
      <c r="AK70" s="68">
        <f>IF(ISNUMBER(#REF!)=TRUE,#REF!,"")</f>
      </c>
      <c r="AL70" s="68">
        <f aca="true" t="shared" si="25" ref="AL70:AL92">IF(ISNUMBER(AM70)=TRUE,RANK(AM70,$AM$10:$AM$92,1),"")</f>
      </c>
      <c r="AM70" s="68">
        <f t="shared" si="20"/>
      </c>
    </row>
    <row r="71" spans="36:39" ht="20.25">
      <c r="AJ71" s="68">
        <f>IF(ISNUMBER(#REF!)=TRUE,#REF!,"")</f>
      </c>
      <c r="AK71" s="68">
        <f>IF(ISNUMBER(#REF!)=TRUE,#REF!,"")</f>
      </c>
      <c r="AL71" s="68">
        <f t="shared" si="25"/>
      </c>
      <c r="AM71" s="68">
        <f t="shared" si="20"/>
      </c>
    </row>
    <row r="72" spans="36:39" ht="20.25">
      <c r="AJ72" s="68">
        <f>IF(ISNUMBER(#REF!)=TRUE,#REF!,"")</f>
      </c>
      <c r="AK72" s="68">
        <f>IF(ISNUMBER(#REF!)=TRUE,#REF!,"")</f>
      </c>
      <c r="AL72" s="68">
        <f t="shared" si="25"/>
      </c>
      <c r="AM72" s="68">
        <f t="shared" si="20"/>
      </c>
    </row>
    <row r="73" spans="36:39" ht="20.25">
      <c r="AJ73" s="68">
        <f>IF(ISNUMBER(#REF!)=TRUE,#REF!,"")</f>
      </c>
      <c r="AK73" s="68">
        <f>IF(ISNUMBER(#REF!)=TRUE,#REF!,"")</f>
      </c>
      <c r="AL73" s="68">
        <f t="shared" si="25"/>
      </c>
      <c r="AM73" s="68">
        <f t="shared" si="20"/>
      </c>
    </row>
    <row r="74" spans="36:39" ht="20.25">
      <c r="AJ74" s="68">
        <f>IF(ISNUMBER(#REF!)=TRUE,#REF!,"")</f>
      </c>
      <c r="AK74" s="68">
        <f>IF(ISNUMBER(#REF!)=TRUE,#REF!,"")</f>
      </c>
      <c r="AL74" s="68">
        <f t="shared" si="25"/>
      </c>
      <c r="AM74" s="68">
        <f aca="true" t="shared" si="26" ref="AM74:AM92">IF(ISNUMBER(AJ74)=TRUE,AJ74-AK74/100000,"")</f>
      </c>
    </row>
    <row r="75" spans="36:39" ht="20.25">
      <c r="AJ75" s="68">
        <f>IF(ISNUMBER(#REF!)=TRUE,#REF!,"")</f>
      </c>
      <c r="AK75" s="68">
        <f>IF(ISNUMBER(#REF!)=TRUE,#REF!,"")</f>
      </c>
      <c r="AL75" s="68">
        <f t="shared" si="25"/>
      </c>
      <c r="AM75" s="68">
        <f t="shared" si="26"/>
      </c>
    </row>
    <row r="76" spans="36:39" ht="20.25">
      <c r="AJ76" s="68">
        <f>IF(ISNUMBER(#REF!)=TRUE,#REF!,"")</f>
      </c>
      <c r="AK76" s="68">
        <f>IF(ISNUMBER(#REF!)=TRUE,#REF!,"")</f>
      </c>
      <c r="AL76" s="68">
        <f t="shared" si="25"/>
      </c>
      <c r="AM76" s="68">
        <f t="shared" si="26"/>
      </c>
    </row>
    <row r="77" spans="36:39" ht="20.25">
      <c r="AJ77" s="68">
        <f>IF(ISNUMBER(#REF!)=TRUE,#REF!,"")</f>
      </c>
      <c r="AK77" s="68">
        <f>IF(ISNUMBER(#REF!)=TRUE,#REF!,"")</f>
      </c>
      <c r="AL77" s="68">
        <f t="shared" si="25"/>
      </c>
      <c r="AM77" s="68">
        <f t="shared" si="26"/>
      </c>
    </row>
    <row r="78" spans="36:39" ht="20.25">
      <c r="AJ78" s="68">
        <f>IF(ISNUMBER(#REF!)=TRUE,#REF!,"")</f>
      </c>
      <c r="AK78" s="68">
        <f>IF(ISNUMBER(#REF!)=TRUE,#REF!,"")</f>
      </c>
      <c r="AL78" s="68">
        <f t="shared" si="25"/>
      </c>
      <c r="AM78" s="68">
        <f t="shared" si="26"/>
      </c>
    </row>
    <row r="79" spans="36:39" ht="20.25">
      <c r="AJ79" s="68">
        <f>IF(ISNUMBER(#REF!)=TRUE,#REF!,"")</f>
      </c>
      <c r="AK79" s="68">
        <f>IF(ISNUMBER(#REF!)=TRUE,#REF!,"")</f>
      </c>
      <c r="AL79" s="68">
        <f t="shared" si="25"/>
      </c>
      <c r="AM79" s="68">
        <f t="shared" si="26"/>
      </c>
    </row>
    <row r="80" spans="36:39" ht="20.25">
      <c r="AJ80" s="68">
        <f>IF(ISNUMBER(#REF!)=TRUE,#REF!,"")</f>
      </c>
      <c r="AK80" s="68">
        <f>IF(ISNUMBER(#REF!)=TRUE,#REF!,"")</f>
      </c>
      <c r="AL80" s="68">
        <f t="shared" si="25"/>
      </c>
      <c r="AM80" s="68">
        <f t="shared" si="26"/>
      </c>
    </row>
    <row r="81" spans="36:39" ht="20.25">
      <c r="AJ81" s="68">
        <f>IF(ISNUMBER(#REF!)=TRUE,#REF!,"")</f>
      </c>
      <c r="AK81" s="68">
        <f>IF(ISNUMBER(#REF!)=TRUE,#REF!,"")</f>
      </c>
      <c r="AL81" s="68">
        <f t="shared" si="25"/>
      </c>
      <c r="AM81" s="68">
        <f t="shared" si="26"/>
      </c>
    </row>
    <row r="82" spans="36:39" ht="20.25">
      <c r="AJ82" s="68">
        <f>IF(ISNUMBER(#REF!)=TRUE,#REF!,"")</f>
      </c>
      <c r="AK82" s="68">
        <f>IF(ISNUMBER(#REF!)=TRUE,#REF!,"")</f>
      </c>
      <c r="AL82" s="68">
        <f t="shared" si="25"/>
      </c>
      <c r="AM82" s="68">
        <f t="shared" si="26"/>
      </c>
    </row>
    <row r="83" spans="36:39" ht="20.25">
      <c r="AJ83" s="68">
        <f>IF(ISNUMBER(#REF!)=TRUE,#REF!,"")</f>
      </c>
      <c r="AK83" s="68">
        <f>IF(ISNUMBER(#REF!)=TRUE,#REF!,"")</f>
      </c>
      <c r="AL83" s="68">
        <f t="shared" si="25"/>
      </c>
      <c r="AM83" s="68">
        <f t="shared" si="26"/>
      </c>
    </row>
    <row r="84" spans="36:39" ht="20.25">
      <c r="AJ84" s="68">
        <f>IF(ISNUMBER(#REF!)=TRUE,#REF!,"")</f>
      </c>
      <c r="AK84" s="68">
        <f>IF(ISNUMBER(#REF!)=TRUE,#REF!,"")</f>
      </c>
      <c r="AL84" s="68">
        <f t="shared" si="25"/>
      </c>
      <c r="AM84" s="68">
        <f t="shared" si="26"/>
      </c>
    </row>
    <row r="85" spans="36:39" ht="20.25">
      <c r="AJ85" s="68">
        <f>IF(ISNUMBER(#REF!)=TRUE,#REF!,"")</f>
      </c>
      <c r="AK85" s="68">
        <f>IF(ISNUMBER(#REF!)=TRUE,#REF!,"")</f>
      </c>
      <c r="AL85" s="68">
        <f t="shared" si="25"/>
      </c>
      <c r="AM85" s="68">
        <f t="shared" si="26"/>
      </c>
    </row>
    <row r="86" spans="36:39" ht="20.25">
      <c r="AJ86" s="68">
        <f>IF(ISNUMBER(#REF!)=TRUE,#REF!,"")</f>
      </c>
      <c r="AK86" s="68">
        <f>IF(ISNUMBER(#REF!)=TRUE,#REF!,"")</f>
      </c>
      <c r="AL86" s="68">
        <f t="shared" si="25"/>
      </c>
      <c r="AM86" s="68">
        <f t="shared" si="26"/>
      </c>
    </row>
    <row r="87" spans="36:39" ht="20.25">
      <c r="AJ87" s="68">
        <f>IF(ISNUMBER(#REF!)=TRUE,#REF!,"")</f>
      </c>
      <c r="AK87" s="68">
        <f>IF(ISNUMBER(#REF!)=TRUE,#REF!,"")</f>
      </c>
      <c r="AL87" s="68">
        <f t="shared" si="25"/>
      </c>
      <c r="AM87" s="68">
        <f t="shared" si="26"/>
      </c>
    </row>
    <row r="88" spans="36:39" ht="20.25">
      <c r="AJ88" s="68">
        <f>IF(ISNUMBER(#REF!)=TRUE,#REF!,"")</f>
      </c>
      <c r="AK88" s="68">
        <f>IF(ISNUMBER(#REF!)=TRUE,#REF!,"")</f>
      </c>
      <c r="AL88" s="68">
        <f t="shared" si="25"/>
      </c>
      <c r="AM88" s="68">
        <f t="shared" si="26"/>
      </c>
    </row>
    <row r="89" spans="36:39" ht="20.25">
      <c r="AJ89" s="68">
        <f>IF(ISNUMBER(#REF!)=TRUE,#REF!,"")</f>
      </c>
      <c r="AK89" s="68">
        <f>IF(ISNUMBER(#REF!)=TRUE,#REF!,"")</f>
      </c>
      <c r="AL89" s="68">
        <f t="shared" si="25"/>
      </c>
      <c r="AM89" s="68">
        <f t="shared" si="26"/>
      </c>
    </row>
    <row r="90" spans="36:39" ht="20.25">
      <c r="AJ90" s="68">
        <f>IF(ISNUMBER(#REF!)=TRUE,#REF!,"")</f>
      </c>
      <c r="AK90" s="68">
        <f>IF(ISNUMBER(#REF!)=TRUE,#REF!,"")</f>
      </c>
      <c r="AL90" s="68">
        <f t="shared" si="25"/>
      </c>
      <c r="AM90" s="68">
        <f t="shared" si="26"/>
      </c>
    </row>
    <row r="91" spans="36:39" ht="20.25">
      <c r="AJ91" s="68">
        <f>IF(ISNUMBER(#REF!)=TRUE,#REF!,"")</f>
      </c>
      <c r="AK91" s="68">
        <f>IF(ISNUMBER(#REF!)=TRUE,#REF!,"")</f>
      </c>
      <c r="AL91" s="68">
        <f t="shared" si="25"/>
      </c>
      <c r="AM91" s="68">
        <f t="shared" si="26"/>
      </c>
    </row>
    <row r="92" spans="36:39" ht="20.25">
      <c r="AJ92" s="68">
        <f>IF(ISNUMBER(#REF!)=TRUE,#REF!,"")</f>
      </c>
      <c r="AK92" s="68">
        <f>IF(ISNUMBER(#REF!)=TRUE,#REF!,"")</f>
      </c>
      <c r="AL92" s="68">
        <f t="shared" si="25"/>
      </c>
      <c r="AM92" s="68">
        <f t="shared" si="26"/>
      </c>
    </row>
  </sheetData>
  <sheetProtection password="C7E2" sheet="1" objects="1" scenarios="1"/>
  <mergeCells count="10">
    <mergeCell ref="A8:A9"/>
    <mergeCell ref="B8:B9"/>
    <mergeCell ref="C8:G8"/>
    <mergeCell ref="H8:L8"/>
    <mergeCell ref="AC8:AC9"/>
    <mergeCell ref="AD8:AD9"/>
    <mergeCell ref="M8:Q8"/>
    <mergeCell ref="R8:V8"/>
    <mergeCell ref="W8:AA8"/>
    <mergeCell ref="AB8:AB9"/>
  </mergeCells>
  <printOptions horizontalCentered="1"/>
  <pageMargins left="0.3937007874015748" right="0.5118110236220472" top="0.7874015748031497" bottom="0.2755905511811024" header="3.23" footer="0.3937007874015748"/>
  <pageSetup horizontalDpi="300" verticalDpi="300" orientation="landscape" paperSize="9" scale="43" r:id="rId4"/>
  <headerFooter alignWithMargins="0">
    <oddHeader>&amp;C&amp;G</oddHeader>
    <oddFooter>&amp;C&amp;"Arial,Kurziv"&amp;16&amp;YProgram za izračun rezultata i provođenje natjecanja&amp;R&amp;18&amp;D  &amp;T h</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1">
    <tabColor indexed="10"/>
    <outlinePr summaryBelow="0"/>
  </sheetPr>
  <dimension ref="A1:AI37"/>
  <sheetViews>
    <sheetView showRowColHeaders="0" zoomScalePageLayoutView="0" workbookViewId="0" topLeftCell="A1">
      <selection activeCell="C2" sqref="C2"/>
    </sheetView>
  </sheetViews>
  <sheetFormatPr defaultColWidth="9.140625" defaultRowHeight="12.75"/>
  <cols>
    <col min="1" max="1" width="10.28125" style="439" customWidth="1"/>
    <col min="2" max="2" width="8.57421875" style="441" customWidth="1"/>
    <col min="3" max="3" width="18.57421875" style="441" customWidth="1"/>
    <col min="4" max="4" width="14.28125" style="441" customWidth="1"/>
    <col min="5" max="5" width="6.00390625" style="447" customWidth="1"/>
    <col min="6" max="6" width="6.00390625" style="441" hidden="1" customWidth="1"/>
    <col min="7" max="7" width="14.28125" style="441" customWidth="1"/>
    <col min="8" max="8" width="6.00390625" style="447" customWidth="1"/>
    <col min="9" max="9" width="6.00390625" style="441" hidden="1" customWidth="1"/>
    <col min="10" max="10" width="14.28125" style="441" customWidth="1"/>
    <col min="11" max="11" width="6.00390625" style="447" customWidth="1"/>
    <col min="12" max="12" width="6.00390625" style="441" hidden="1" customWidth="1"/>
    <col min="13" max="13" width="14.28125" style="441" customWidth="1"/>
    <col min="14" max="14" width="6.00390625" style="441" customWidth="1"/>
    <col min="15" max="15" width="6.00390625" style="441" hidden="1" customWidth="1"/>
    <col min="16" max="16" width="14.28125" style="441" customWidth="1"/>
    <col min="17" max="17" width="6.00390625" style="441" customWidth="1"/>
    <col min="18" max="18" width="6.00390625" style="441" hidden="1" customWidth="1"/>
    <col min="19" max="19" width="14.28125" style="441" customWidth="1"/>
    <col min="20" max="23" width="5.00390625" style="441" hidden="1" customWidth="1"/>
    <col min="24" max="24" width="4.8515625" style="441" hidden="1" customWidth="1"/>
    <col min="25" max="25" width="6.140625" style="444" customWidth="1"/>
    <col min="26" max="26" width="4.57421875" style="441" customWidth="1"/>
    <col min="27" max="16384" width="9.140625" style="441" customWidth="1"/>
  </cols>
  <sheetData>
    <row r="1" spans="1:35" s="438" customFormat="1" ht="21.75" customHeight="1">
      <c r="A1" s="141" t="s">
        <v>18</v>
      </c>
      <c r="B1" s="141" t="s">
        <v>19</v>
      </c>
      <c r="C1" s="141" t="s">
        <v>20</v>
      </c>
      <c r="D1" s="141" t="s">
        <v>21</v>
      </c>
      <c r="E1" s="141" t="s">
        <v>23</v>
      </c>
      <c r="F1" s="176" t="s">
        <v>22</v>
      </c>
      <c r="G1" s="141" t="s">
        <v>21</v>
      </c>
      <c r="H1" s="141" t="s">
        <v>23</v>
      </c>
      <c r="I1" s="176" t="s">
        <v>22</v>
      </c>
      <c r="J1" s="141" t="s">
        <v>21</v>
      </c>
      <c r="K1" s="141" t="s">
        <v>23</v>
      </c>
      <c r="L1" s="176" t="s">
        <v>22</v>
      </c>
      <c r="M1" s="141" t="s">
        <v>21</v>
      </c>
      <c r="N1" s="141" t="s">
        <v>23</v>
      </c>
      <c r="O1" s="176" t="s">
        <v>22</v>
      </c>
      <c r="P1" s="141" t="s">
        <v>21</v>
      </c>
      <c r="Q1" s="141" t="s">
        <v>23</v>
      </c>
      <c r="R1" s="176" t="s">
        <v>22</v>
      </c>
      <c r="S1" s="175" t="s">
        <v>47</v>
      </c>
      <c r="T1" s="448" t="s">
        <v>26</v>
      </c>
      <c r="U1" s="448" t="s">
        <v>25</v>
      </c>
      <c r="V1" s="448" t="s">
        <v>24</v>
      </c>
      <c r="W1" s="448" t="s">
        <v>28</v>
      </c>
      <c r="X1" s="448" t="s">
        <v>27</v>
      </c>
      <c r="Y1" s="232">
        <f>IF(ISTEXT(C2)=TRUE,COUNTA($C$2:$C$13),"")</f>
      </c>
      <c r="Z1" s="194"/>
      <c r="AA1" s="437"/>
      <c r="AB1" s="437"/>
      <c r="AC1" s="437"/>
      <c r="AD1" s="437"/>
      <c r="AE1" s="437"/>
      <c r="AF1" s="437"/>
      <c r="AG1" s="437"/>
      <c r="AH1" s="437"/>
      <c r="AI1" s="437"/>
    </row>
    <row r="2" spans="1:35" ht="12.75">
      <c r="A2" s="412"/>
      <c r="B2" s="411"/>
      <c r="C2" s="76"/>
      <c r="D2" s="76"/>
      <c r="E2" s="412"/>
      <c r="F2" s="412"/>
      <c r="G2" s="76"/>
      <c r="H2" s="412"/>
      <c r="I2" s="412"/>
      <c r="J2" s="76"/>
      <c r="K2" s="412"/>
      <c r="L2" s="412"/>
      <c r="M2" s="74"/>
      <c r="N2" s="412"/>
      <c r="O2" s="412"/>
      <c r="P2" s="76"/>
      <c r="Q2" s="412"/>
      <c r="R2" s="412"/>
      <c r="S2" s="76"/>
      <c r="T2" s="413">
        <f aca="true" t="shared" si="0" ref="T2:T13">IF(AND(ISNUMBER(F2)=FALSE,ISNUMBER(I2)=FALSE,ISNUMBER(L2)=FALSE,ISNUMBER(O2)=FALSE,ISNUMBER(R2)=FALSE),"",IF(COUNTIF(E2,"A")=1,F2,IF(COUNTIF(H2,"A")=1,I2,IF(COUNTIF(K2,"A")=1,L2,IF(COUNTIF(N2,"A")=1,O2,IF(COUNTIF(Q2,"A")=1,R2,""))))))</f>
      </c>
      <c r="U2" s="413">
        <f aca="true" t="shared" si="1" ref="U2:U13">IF(AND(ISNUMBER(F2)=FALSE,ISNUMBER(I2)=FALSE,ISNUMBER(L2)=FALSE,ISNUMBER(O2)=FALSE,ISNUMBER(R2)=FALSE),"",IF(COUNTIF(E2,"B")=1,F2,IF(COUNTIF(H2,"B")=1,I2,IF(COUNTIF(K2,"B")=1,L2,IF(COUNTIF(N2,"B")=1,O2,IF(COUNTIF(Q2,"B")=1,R2,""))))))</f>
      </c>
      <c r="V2" s="413">
        <f aca="true" t="shared" si="2" ref="V2:V13">IF(AND(ISNUMBER(F2)=FALSE,ISNUMBER(I2)=FALSE,ISNUMBER(L2)=FALSE,ISNUMBER(O2)=FALSE,ISNUMBER(R2)=FALSE),"",IF(COUNTIF(E2,"C")=1,F2,IF(COUNTIF(H2,"C")=1,I2,IF(COUNTIF(K2,"C")=1,L2,IF(COUNTIF(N2,"C")=1,O2,IF(COUNTIF(Q2,"C")=1,R2,""))))))</f>
      </c>
      <c r="W2" s="413">
        <f aca="true" t="shared" si="3" ref="W2:W13">IF(AND(ISNUMBER(F2)=FALSE,ISNUMBER(I2)=FALSE,ISNUMBER(L2)=FALSE,ISNUMBER(O2)=FALSE,ISNUMBER(R2)=FALSE),"",IF(COUNTIF(E2,"D")=1,F2,IF(COUNTIF(H2,"D")=1,I2,IF(COUNTIF(K2,"D")=1,L2,IF(COUNTIF(N2,"D")=1,O2,IF(COUNTIF(Q2,"D")=1,R2,""))))))</f>
      </c>
      <c r="X2" s="413">
        <f aca="true" t="shared" si="4" ref="X2:X13">IF(AND(ISNUMBER(F2)=FALSE,ISNUMBER(I2)=FALSE,ISNUMBER(L2)=FALSE,ISNUMBER(O2)=FALSE,ISNUMBER(R2)=FALSE),"",IF(COUNTIF(E2,"E")=1,F2,IF(COUNTIF(H2,"E")=1,I2,IF(COUNTIF(K2,"E")=1,L2,IF(COUNTIF(N2,"E")=1,O2,IF(COUNTIF(Q2,"E")=1,R2,""))))))</f>
      </c>
      <c r="Y2" s="414">
        <f aca="true" t="shared" si="5" ref="Y2:Y13">IF(OR(COUNTIF(E2:Q2,"A")&gt;1,COUNTIF(E2:Q2,"B")&gt;1,COUNTIF(E2:Q2,"C")&gt;1,COUNTIF(E2:Q2,"D")&gt;1,COUNTIF(E2:Q2,"E")&gt;1),"ISTI SEKTOR !",IF(COUNTIF($B$2:$B$13,B2)=2,"ISTI REDOSLJED ! ",IF(COUNTIF($A$2:$A$13,A2)=2,"ISTI STARTNI BROJ ! ","")))</f>
      </c>
      <c r="Z2" s="76"/>
      <c r="AA2" s="442"/>
      <c r="AB2" s="442"/>
      <c r="AC2" s="442"/>
      <c r="AD2" s="442"/>
      <c r="AE2" s="442"/>
      <c r="AF2" s="442"/>
      <c r="AG2" s="442"/>
      <c r="AH2" s="442"/>
      <c r="AI2" s="442"/>
    </row>
    <row r="3" spans="1:35" ht="12.75">
      <c r="A3" s="412"/>
      <c r="B3" s="411"/>
      <c r="C3" s="76"/>
      <c r="D3" s="76"/>
      <c r="E3" s="412"/>
      <c r="F3" s="412"/>
      <c r="G3" s="76"/>
      <c r="H3" s="412"/>
      <c r="I3" s="412"/>
      <c r="J3" s="76"/>
      <c r="K3" s="412"/>
      <c r="L3" s="412"/>
      <c r="M3" s="76"/>
      <c r="N3" s="412"/>
      <c r="O3" s="412"/>
      <c r="P3" s="76"/>
      <c r="Q3" s="412"/>
      <c r="R3" s="412"/>
      <c r="S3" s="76"/>
      <c r="T3" s="413">
        <f t="shared" si="0"/>
      </c>
      <c r="U3" s="413">
        <f t="shared" si="1"/>
      </c>
      <c r="V3" s="413">
        <f t="shared" si="2"/>
      </c>
      <c r="W3" s="413">
        <f t="shared" si="3"/>
      </c>
      <c r="X3" s="413">
        <f t="shared" si="4"/>
      </c>
      <c r="Y3" s="414">
        <f t="shared" si="5"/>
      </c>
      <c r="Z3" s="76"/>
      <c r="AA3" s="442"/>
      <c r="AB3" s="442"/>
      <c r="AC3" s="442"/>
      <c r="AD3" s="442"/>
      <c r="AE3" s="442"/>
      <c r="AF3" s="442"/>
      <c r="AG3" s="442"/>
      <c r="AH3" s="442"/>
      <c r="AI3" s="442"/>
    </row>
    <row r="4" spans="1:35" ht="12.75">
      <c r="A4" s="412"/>
      <c r="B4" s="411"/>
      <c r="C4" s="76"/>
      <c r="D4" s="76"/>
      <c r="E4" s="412"/>
      <c r="F4" s="412"/>
      <c r="G4" s="76"/>
      <c r="H4" s="412"/>
      <c r="I4" s="412"/>
      <c r="J4" s="76"/>
      <c r="K4" s="412"/>
      <c r="L4" s="412"/>
      <c r="M4" s="76"/>
      <c r="N4" s="412"/>
      <c r="O4" s="412"/>
      <c r="P4" s="76"/>
      <c r="Q4" s="412"/>
      <c r="R4" s="412"/>
      <c r="S4" s="76"/>
      <c r="T4" s="413">
        <f t="shared" si="0"/>
      </c>
      <c r="U4" s="413">
        <f t="shared" si="1"/>
      </c>
      <c r="V4" s="413">
        <f t="shared" si="2"/>
      </c>
      <c r="W4" s="413">
        <f t="shared" si="3"/>
      </c>
      <c r="X4" s="413">
        <f t="shared" si="4"/>
      </c>
      <c r="Y4" s="414">
        <f t="shared" si="5"/>
      </c>
      <c r="Z4" s="76"/>
      <c r="AA4" s="442"/>
      <c r="AB4" s="442"/>
      <c r="AC4" s="442"/>
      <c r="AD4" s="442"/>
      <c r="AE4" s="442"/>
      <c r="AF4" s="442"/>
      <c r="AG4" s="442"/>
      <c r="AH4" s="442"/>
      <c r="AI4" s="442"/>
    </row>
    <row r="5" spans="1:35" ht="12.75">
      <c r="A5" s="412"/>
      <c r="B5" s="411"/>
      <c r="C5" s="76"/>
      <c r="D5" s="74"/>
      <c r="E5" s="75"/>
      <c r="F5" s="75"/>
      <c r="G5" s="74"/>
      <c r="H5" s="75"/>
      <c r="I5" s="75"/>
      <c r="J5" s="74"/>
      <c r="K5" s="412"/>
      <c r="L5" s="75"/>
      <c r="M5" s="76"/>
      <c r="N5" s="75"/>
      <c r="O5" s="75"/>
      <c r="P5" s="76"/>
      <c r="Q5" s="412"/>
      <c r="R5" s="75"/>
      <c r="S5" s="76"/>
      <c r="T5" s="413">
        <f t="shared" si="0"/>
      </c>
      <c r="U5" s="413">
        <f t="shared" si="1"/>
      </c>
      <c r="V5" s="413">
        <f t="shared" si="2"/>
      </c>
      <c r="W5" s="413">
        <f t="shared" si="3"/>
      </c>
      <c r="X5" s="413">
        <f t="shared" si="4"/>
      </c>
      <c r="Y5" s="414">
        <f t="shared" si="5"/>
      </c>
      <c r="Z5" s="76"/>
      <c r="AA5" s="442"/>
      <c r="AB5" s="442"/>
      <c r="AC5" s="442"/>
      <c r="AD5" s="442"/>
      <c r="AE5" s="442"/>
      <c r="AF5" s="442"/>
      <c r="AG5" s="442"/>
      <c r="AH5" s="442"/>
      <c r="AI5" s="442"/>
    </row>
    <row r="6" spans="1:35" ht="12.75">
      <c r="A6" s="412"/>
      <c r="B6" s="411"/>
      <c r="C6" s="76"/>
      <c r="D6" s="74"/>
      <c r="E6" s="75"/>
      <c r="F6" s="75"/>
      <c r="G6" s="74"/>
      <c r="H6" s="75"/>
      <c r="I6" s="75"/>
      <c r="J6" s="74"/>
      <c r="K6" s="412"/>
      <c r="L6" s="75"/>
      <c r="M6" s="76"/>
      <c r="N6" s="75"/>
      <c r="O6" s="75"/>
      <c r="P6" s="76"/>
      <c r="Q6" s="412"/>
      <c r="R6" s="75"/>
      <c r="S6" s="76"/>
      <c r="T6" s="413">
        <f t="shared" si="0"/>
      </c>
      <c r="U6" s="413">
        <f t="shared" si="1"/>
      </c>
      <c r="V6" s="413">
        <f t="shared" si="2"/>
      </c>
      <c r="W6" s="413">
        <f t="shared" si="3"/>
      </c>
      <c r="X6" s="413">
        <f t="shared" si="4"/>
      </c>
      <c r="Y6" s="414">
        <f t="shared" si="5"/>
      </c>
      <c r="Z6" s="76"/>
      <c r="AA6" s="442"/>
      <c r="AB6" s="442"/>
      <c r="AC6" s="442"/>
      <c r="AD6" s="442"/>
      <c r="AE6" s="442"/>
      <c r="AF6" s="442"/>
      <c r="AG6" s="442"/>
      <c r="AH6" s="442"/>
      <c r="AI6" s="442"/>
    </row>
    <row r="7" spans="1:35" ht="12.75">
      <c r="A7" s="412"/>
      <c r="B7" s="411"/>
      <c r="C7" s="76"/>
      <c r="D7" s="76"/>
      <c r="E7" s="412"/>
      <c r="F7" s="412"/>
      <c r="G7" s="76"/>
      <c r="H7" s="412"/>
      <c r="I7" s="412"/>
      <c r="J7" s="76"/>
      <c r="K7" s="412"/>
      <c r="L7" s="412"/>
      <c r="M7" s="76"/>
      <c r="N7" s="412"/>
      <c r="O7" s="412"/>
      <c r="P7" s="74"/>
      <c r="Q7" s="412"/>
      <c r="R7" s="412"/>
      <c r="S7" s="76"/>
      <c r="T7" s="413">
        <f t="shared" si="0"/>
      </c>
      <c r="U7" s="413">
        <f t="shared" si="1"/>
      </c>
      <c r="V7" s="413">
        <f t="shared" si="2"/>
      </c>
      <c r="W7" s="413">
        <f t="shared" si="3"/>
      </c>
      <c r="X7" s="413">
        <f t="shared" si="4"/>
      </c>
      <c r="Y7" s="414">
        <f t="shared" si="5"/>
      </c>
      <c r="Z7" s="76"/>
      <c r="AA7" s="442"/>
      <c r="AB7" s="442"/>
      <c r="AC7" s="442"/>
      <c r="AD7" s="442"/>
      <c r="AE7" s="442"/>
      <c r="AF7" s="442"/>
      <c r="AG7" s="442"/>
      <c r="AH7" s="442"/>
      <c r="AI7" s="442"/>
    </row>
    <row r="8" spans="1:35" ht="12.75">
      <c r="A8" s="412"/>
      <c r="B8" s="411"/>
      <c r="C8" s="76"/>
      <c r="D8" s="74"/>
      <c r="E8" s="75"/>
      <c r="F8" s="75"/>
      <c r="G8" s="74"/>
      <c r="H8" s="75"/>
      <c r="I8" s="75"/>
      <c r="J8" s="74"/>
      <c r="K8" s="412"/>
      <c r="L8" s="75"/>
      <c r="M8" s="76"/>
      <c r="N8" s="75"/>
      <c r="O8" s="75"/>
      <c r="P8" s="74"/>
      <c r="Q8" s="412"/>
      <c r="R8" s="75"/>
      <c r="S8" s="74"/>
      <c r="T8" s="413">
        <f t="shared" si="0"/>
      </c>
      <c r="U8" s="413">
        <f t="shared" si="1"/>
      </c>
      <c r="V8" s="413">
        <f t="shared" si="2"/>
      </c>
      <c r="W8" s="413">
        <f t="shared" si="3"/>
      </c>
      <c r="X8" s="413">
        <f t="shared" si="4"/>
      </c>
      <c r="Y8" s="414">
        <f t="shared" si="5"/>
      </c>
      <c r="Z8" s="76"/>
      <c r="AA8" s="442"/>
      <c r="AB8" s="442"/>
      <c r="AC8" s="442"/>
      <c r="AD8" s="442"/>
      <c r="AE8" s="442"/>
      <c r="AF8" s="442"/>
      <c r="AG8" s="442"/>
      <c r="AH8" s="442"/>
      <c r="AI8" s="442"/>
    </row>
    <row r="9" spans="1:35" ht="12.75">
      <c r="A9" s="412"/>
      <c r="B9" s="411"/>
      <c r="C9" s="76"/>
      <c r="D9" s="74"/>
      <c r="E9" s="75"/>
      <c r="F9" s="75"/>
      <c r="G9" s="74"/>
      <c r="H9" s="75"/>
      <c r="I9" s="75"/>
      <c r="J9" s="74"/>
      <c r="K9" s="412"/>
      <c r="L9" s="75"/>
      <c r="M9" s="76"/>
      <c r="N9" s="75"/>
      <c r="O9" s="75"/>
      <c r="P9" s="76"/>
      <c r="Q9" s="412"/>
      <c r="R9" s="75"/>
      <c r="S9" s="76"/>
      <c r="T9" s="413">
        <f t="shared" si="0"/>
      </c>
      <c r="U9" s="413">
        <f t="shared" si="1"/>
      </c>
      <c r="V9" s="413">
        <f t="shared" si="2"/>
      </c>
      <c r="W9" s="413">
        <f t="shared" si="3"/>
      </c>
      <c r="X9" s="413">
        <f t="shared" si="4"/>
      </c>
      <c r="Y9" s="414">
        <f t="shared" si="5"/>
      </c>
      <c r="Z9" s="76"/>
      <c r="AA9" s="442"/>
      <c r="AB9" s="442"/>
      <c r="AC9" s="442"/>
      <c r="AD9" s="442"/>
      <c r="AE9" s="442"/>
      <c r="AF9" s="442"/>
      <c r="AG9" s="442"/>
      <c r="AH9" s="442"/>
      <c r="AI9" s="442"/>
    </row>
    <row r="10" spans="1:35" ht="12.75">
      <c r="A10" s="412"/>
      <c r="B10" s="411"/>
      <c r="C10" s="76"/>
      <c r="D10" s="76"/>
      <c r="E10" s="412"/>
      <c r="F10" s="412"/>
      <c r="G10" s="76"/>
      <c r="H10" s="412"/>
      <c r="I10" s="412"/>
      <c r="J10" s="76"/>
      <c r="K10" s="412"/>
      <c r="L10" s="412"/>
      <c r="M10" s="76"/>
      <c r="N10" s="412"/>
      <c r="O10" s="412"/>
      <c r="P10" s="76"/>
      <c r="Q10" s="412"/>
      <c r="R10" s="412"/>
      <c r="S10" s="76"/>
      <c r="T10" s="413">
        <f t="shared" si="0"/>
      </c>
      <c r="U10" s="413">
        <f t="shared" si="1"/>
      </c>
      <c r="V10" s="413">
        <f t="shared" si="2"/>
      </c>
      <c r="W10" s="413">
        <f t="shared" si="3"/>
      </c>
      <c r="X10" s="413">
        <f t="shared" si="4"/>
      </c>
      <c r="Y10" s="414">
        <f t="shared" si="5"/>
      </c>
      <c r="Z10" s="76"/>
      <c r="AA10" s="442"/>
      <c r="AB10" s="442"/>
      <c r="AC10" s="442"/>
      <c r="AD10" s="442"/>
      <c r="AE10" s="442"/>
      <c r="AF10" s="442"/>
      <c r="AG10" s="442"/>
      <c r="AH10" s="442"/>
      <c r="AI10" s="442"/>
    </row>
    <row r="11" spans="1:35" ht="12.75">
      <c r="A11" s="412"/>
      <c r="B11" s="411"/>
      <c r="C11" s="76"/>
      <c r="D11" s="74"/>
      <c r="E11" s="75"/>
      <c r="F11" s="75"/>
      <c r="G11" s="74"/>
      <c r="H11" s="75"/>
      <c r="I11" s="75"/>
      <c r="J11" s="74"/>
      <c r="K11" s="412"/>
      <c r="L11" s="75"/>
      <c r="M11" s="74"/>
      <c r="N11" s="75"/>
      <c r="O11" s="75"/>
      <c r="P11" s="74"/>
      <c r="Q11" s="412"/>
      <c r="R11" s="75"/>
      <c r="S11" s="76"/>
      <c r="T11" s="413">
        <f t="shared" si="0"/>
      </c>
      <c r="U11" s="413">
        <f t="shared" si="1"/>
      </c>
      <c r="V11" s="413">
        <f t="shared" si="2"/>
      </c>
      <c r="W11" s="413">
        <f t="shared" si="3"/>
      </c>
      <c r="X11" s="413">
        <f t="shared" si="4"/>
      </c>
      <c r="Y11" s="414">
        <f t="shared" si="5"/>
      </c>
      <c r="Z11" s="76"/>
      <c r="AA11" s="442"/>
      <c r="AB11" s="442"/>
      <c r="AC11" s="442"/>
      <c r="AD11" s="442"/>
      <c r="AE11" s="442"/>
      <c r="AF11" s="442"/>
      <c r="AG11" s="442"/>
      <c r="AH11" s="442"/>
      <c r="AI11" s="442"/>
    </row>
    <row r="12" spans="1:35" ht="12.75">
      <c r="A12" s="412"/>
      <c r="B12" s="411"/>
      <c r="C12" s="76"/>
      <c r="D12" s="76"/>
      <c r="E12" s="412"/>
      <c r="F12" s="412"/>
      <c r="G12" s="76"/>
      <c r="H12" s="412"/>
      <c r="I12" s="412"/>
      <c r="J12" s="76"/>
      <c r="K12" s="412"/>
      <c r="L12" s="412"/>
      <c r="M12" s="76"/>
      <c r="N12" s="412"/>
      <c r="O12" s="412"/>
      <c r="P12" s="76"/>
      <c r="Q12" s="412"/>
      <c r="R12" s="412"/>
      <c r="S12" s="76"/>
      <c r="T12" s="413">
        <f t="shared" si="0"/>
      </c>
      <c r="U12" s="413">
        <f t="shared" si="1"/>
      </c>
      <c r="V12" s="413">
        <f t="shared" si="2"/>
      </c>
      <c r="W12" s="413">
        <f t="shared" si="3"/>
      </c>
      <c r="X12" s="413">
        <f t="shared" si="4"/>
      </c>
      <c r="Y12" s="414">
        <f t="shared" si="5"/>
      </c>
      <c r="Z12" s="76"/>
      <c r="AA12" s="442"/>
      <c r="AB12" s="442"/>
      <c r="AC12" s="442"/>
      <c r="AD12" s="442"/>
      <c r="AE12" s="442"/>
      <c r="AF12" s="442"/>
      <c r="AG12" s="442"/>
      <c r="AH12" s="442"/>
      <c r="AI12" s="442"/>
    </row>
    <row r="13" spans="1:35" ht="13.5" thickBot="1">
      <c r="A13" s="229"/>
      <c r="B13" s="415"/>
      <c r="C13" s="416"/>
      <c r="D13" s="416"/>
      <c r="E13" s="229"/>
      <c r="F13" s="229"/>
      <c r="G13" s="416"/>
      <c r="H13" s="229"/>
      <c r="I13" s="229"/>
      <c r="J13" s="416"/>
      <c r="K13" s="229"/>
      <c r="L13" s="229"/>
      <c r="M13" s="416"/>
      <c r="N13" s="229"/>
      <c r="O13" s="229"/>
      <c r="P13" s="416"/>
      <c r="Q13" s="229"/>
      <c r="R13" s="229"/>
      <c r="S13" s="416"/>
      <c r="T13" s="417">
        <f t="shared" si="0"/>
      </c>
      <c r="U13" s="417">
        <f t="shared" si="1"/>
      </c>
      <c r="V13" s="417">
        <f t="shared" si="2"/>
      </c>
      <c r="W13" s="417">
        <f t="shared" si="3"/>
      </c>
      <c r="X13" s="417">
        <f t="shared" si="4"/>
      </c>
      <c r="Y13" s="418">
        <f t="shared" si="5"/>
      </c>
      <c r="Z13" s="416"/>
      <c r="AA13" s="442"/>
      <c r="AB13" s="442"/>
      <c r="AC13" s="442"/>
      <c r="AD13" s="442"/>
      <c r="AE13" s="442"/>
      <c r="AF13" s="442"/>
      <c r="AG13" s="442"/>
      <c r="AH13" s="442"/>
      <c r="AI13" s="442"/>
    </row>
    <row r="14" spans="2:18" ht="12.75">
      <c r="B14" s="440"/>
      <c r="E14" s="439"/>
      <c r="F14" s="439"/>
      <c r="H14" s="439"/>
      <c r="I14" s="439"/>
      <c r="K14" s="439"/>
      <c r="L14" s="439"/>
      <c r="N14" s="439"/>
      <c r="O14" s="439"/>
      <c r="P14" s="442"/>
      <c r="Q14" s="439"/>
      <c r="R14" s="439"/>
    </row>
    <row r="15" spans="2:18" ht="12.75">
      <c r="B15" s="440"/>
      <c r="D15" s="442"/>
      <c r="E15" s="443"/>
      <c r="F15" s="443"/>
      <c r="G15" s="442"/>
      <c r="H15" s="443"/>
      <c r="I15" s="443"/>
      <c r="J15" s="442"/>
      <c r="K15" s="439"/>
      <c r="L15" s="443"/>
      <c r="N15" s="443"/>
      <c r="O15" s="443"/>
      <c r="Q15" s="439"/>
      <c r="R15" s="443"/>
    </row>
    <row r="16" spans="2:18" ht="12.75">
      <c r="B16" s="440"/>
      <c r="D16" s="442"/>
      <c r="E16" s="443"/>
      <c r="F16" s="443"/>
      <c r="G16" s="442"/>
      <c r="H16" s="443"/>
      <c r="I16" s="443"/>
      <c r="J16" s="442"/>
      <c r="K16" s="439"/>
      <c r="L16" s="443"/>
      <c r="M16" s="442"/>
      <c r="N16" s="443"/>
      <c r="O16" s="443"/>
      <c r="Q16" s="439"/>
      <c r="R16" s="443"/>
    </row>
    <row r="17" spans="2:18" ht="12.75">
      <c r="B17" s="440"/>
      <c r="D17" s="442"/>
      <c r="E17" s="443"/>
      <c r="F17" s="443"/>
      <c r="G17" s="442"/>
      <c r="H17" s="443"/>
      <c r="I17" s="443"/>
      <c r="J17" s="442"/>
      <c r="K17" s="439"/>
      <c r="L17" s="443"/>
      <c r="M17" s="442"/>
      <c r="N17" s="443"/>
      <c r="O17" s="443"/>
      <c r="Q17" s="439"/>
      <c r="R17" s="443"/>
    </row>
    <row r="18" spans="2:18" ht="12.75">
      <c r="B18" s="440"/>
      <c r="E18" s="439"/>
      <c r="F18" s="439"/>
      <c r="H18" s="439"/>
      <c r="I18" s="439"/>
      <c r="K18" s="439"/>
      <c r="L18" s="439"/>
      <c r="M18" s="442"/>
      <c r="N18" s="439"/>
      <c r="O18" s="439"/>
      <c r="Q18" s="439"/>
      <c r="R18" s="439"/>
    </row>
    <row r="19" spans="2:18" ht="12.75">
      <c r="B19" s="440"/>
      <c r="D19" s="442"/>
      <c r="E19" s="443"/>
      <c r="F19" s="443"/>
      <c r="G19" s="442"/>
      <c r="H19" s="443"/>
      <c r="I19" s="443"/>
      <c r="J19" s="442"/>
      <c r="K19" s="439"/>
      <c r="L19" s="443"/>
      <c r="N19" s="443"/>
      <c r="O19" s="443"/>
      <c r="Q19" s="439"/>
      <c r="R19" s="443"/>
    </row>
    <row r="20" spans="2:18" ht="12.75">
      <c r="B20" s="440"/>
      <c r="D20" s="442"/>
      <c r="E20" s="443"/>
      <c r="F20" s="443"/>
      <c r="G20" s="442"/>
      <c r="H20" s="443"/>
      <c r="I20" s="443"/>
      <c r="J20" s="442"/>
      <c r="K20" s="439"/>
      <c r="L20" s="443"/>
      <c r="N20" s="443"/>
      <c r="O20" s="443"/>
      <c r="Q20" s="439"/>
      <c r="R20" s="443"/>
    </row>
    <row r="21" spans="2:18" ht="12.75">
      <c r="B21" s="440"/>
      <c r="D21" s="442"/>
      <c r="E21" s="439"/>
      <c r="F21" s="443"/>
      <c r="H21" s="439"/>
      <c r="I21" s="439"/>
      <c r="J21" s="442"/>
      <c r="K21" s="439"/>
      <c r="L21" s="443"/>
      <c r="M21" s="442"/>
      <c r="N21" s="439"/>
      <c r="O21" s="439"/>
      <c r="P21" s="442"/>
      <c r="Q21" s="439"/>
      <c r="R21" s="443"/>
    </row>
    <row r="22" spans="2:18" ht="12.75">
      <c r="B22" s="440"/>
      <c r="E22" s="439"/>
      <c r="F22" s="439"/>
      <c r="H22" s="439"/>
      <c r="I22" s="439"/>
      <c r="K22" s="439"/>
      <c r="L22" s="439"/>
      <c r="M22" s="445"/>
      <c r="N22" s="439"/>
      <c r="O22" s="439"/>
      <c r="Q22" s="439"/>
      <c r="R22" s="439"/>
    </row>
    <row r="23" spans="2:18" ht="12.75">
      <c r="B23" s="440"/>
      <c r="E23" s="439"/>
      <c r="F23" s="439"/>
      <c r="H23" s="439"/>
      <c r="I23" s="439"/>
      <c r="K23" s="439"/>
      <c r="L23" s="439"/>
      <c r="N23" s="439"/>
      <c r="O23" s="439"/>
      <c r="P23" s="442"/>
      <c r="Q23" s="439"/>
      <c r="R23" s="439"/>
    </row>
    <row r="24" spans="2:18" ht="12.75">
      <c r="B24" s="440"/>
      <c r="E24" s="439"/>
      <c r="F24" s="439"/>
      <c r="H24" s="439"/>
      <c r="I24" s="439"/>
      <c r="K24" s="439"/>
      <c r="L24" s="439"/>
      <c r="N24" s="439"/>
      <c r="O24" s="439"/>
      <c r="P24" s="442"/>
      <c r="Q24" s="439"/>
      <c r="R24" s="439"/>
    </row>
    <row r="25" spans="2:18" ht="12.75">
      <c r="B25" s="440"/>
      <c r="E25" s="439"/>
      <c r="F25" s="439"/>
      <c r="H25" s="439"/>
      <c r="I25" s="439"/>
      <c r="K25" s="439"/>
      <c r="L25" s="439"/>
      <c r="M25" s="442"/>
      <c r="N25" s="439"/>
      <c r="O25" s="439"/>
      <c r="Q25" s="439"/>
      <c r="R25" s="439"/>
    </row>
    <row r="26" spans="2:18" ht="12.75">
      <c r="B26" s="440"/>
      <c r="E26" s="439"/>
      <c r="F26" s="439"/>
      <c r="H26" s="439"/>
      <c r="I26" s="439"/>
      <c r="K26" s="439"/>
      <c r="L26" s="439"/>
      <c r="M26" s="442"/>
      <c r="N26" s="439"/>
      <c r="O26" s="439"/>
      <c r="P26" s="442"/>
      <c r="Q26" s="439"/>
      <c r="R26" s="439"/>
    </row>
    <row r="27" spans="2:18" ht="12.75">
      <c r="B27" s="440"/>
      <c r="E27" s="439"/>
      <c r="F27" s="439"/>
      <c r="H27" s="439"/>
      <c r="I27" s="439"/>
      <c r="K27" s="439"/>
      <c r="L27" s="439"/>
      <c r="N27" s="439"/>
      <c r="O27" s="439"/>
      <c r="Q27" s="439"/>
      <c r="R27" s="439"/>
    </row>
    <row r="28" spans="2:18" ht="12.75">
      <c r="B28" s="440"/>
      <c r="E28" s="439"/>
      <c r="F28" s="439"/>
      <c r="H28" s="439"/>
      <c r="I28" s="439"/>
      <c r="K28" s="439"/>
      <c r="L28" s="439"/>
      <c r="N28" s="439"/>
      <c r="O28" s="439"/>
      <c r="Q28" s="439"/>
      <c r="R28" s="439"/>
    </row>
    <row r="29" spans="2:18" ht="12.75">
      <c r="B29" s="440"/>
      <c r="E29" s="439"/>
      <c r="F29" s="439"/>
      <c r="H29" s="439"/>
      <c r="I29" s="439"/>
      <c r="K29" s="439"/>
      <c r="L29" s="439"/>
      <c r="N29" s="439"/>
      <c r="O29" s="439"/>
      <c r="Q29" s="439"/>
      <c r="R29" s="439"/>
    </row>
    <row r="30" spans="2:18" ht="12.75">
      <c r="B30" s="440"/>
      <c r="E30" s="439"/>
      <c r="F30" s="439"/>
      <c r="H30" s="439"/>
      <c r="I30" s="439"/>
      <c r="K30" s="439"/>
      <c r="L30" s="439"/>
      <c r="N30" s="439"/>
      <c r="O30" s="439"/>
      <c r="Q30" s="439"/>
      <c r="R30" s="439"/>
    </row>
    <row r="31" spans="2:18" ht="12.75">
      <c r="B31" s="440"/>
      <c r="E31" s="439"/>
      <c r="F31" s="439"/>
      <c r="H31" s="439"/>
      <c r="I31" s="439"/>
      <c r="K31" s="439"/>
      <c r="L31" s="439"/>
      <c r="N31" s="439"/>
      <c r="O31" s="439"/>
      <c r="P31" s="442"/>
      <c r="Q31" s="439"/>
      <c r="R31" s="439"/>
    </row>
    <row r="32" spans="2:18" ht="12.75">
      <c r="B32" s="440"/>
      <c r="E32" s="439"/>
      <c r="F32" s="439"/>
      <c r="H32" s="439"/>
      <c r="I32" s="439"/>
      <c r="K32" s="439"/>
      <c r="L32" s="439"/>
      <c r="N32" s="439"/>
      <c r="O32" s="439"/>
      <c r="Q32" s="439"/>
      <c r="R32" s="439"/>
    </row>
    <row r="33" spans="2:18" ht="12.75">
      <c r="B33" s="440"/>
      <c r="E33" s="439"/>
      <c r="F33" s="439"/>
      <c r="H33" s="439"/>
      <c r="I33" s="439"/>
      <c r="K33" s="439"/>
      <c r="L33" s="439"/>
      <c r="M33" s="442"/>
      <c r="N33" s="439"/>
      <c r="O33" s="439"/>
      <c r="P33" s="442"/>
      <c r="Q33" s="439"/>
      <c r="R33" s="439"/>
    </row>
    <row r="34" spans="2:18" ht="12.75">
      <c r="B34" s="440"/>
      <c r="E34" s="439"/>
      <c r="F34" s="439"/>
      <c r="H34" s="439"/>
      <c r="I34" s="439"/>
      <c r="K34" s="439"/>
      <c r="L34" s="439"/>
      <c r="M34" s="442"/>
      <c r="N34" s="439"/>
      <c r="O34" s="439"/>
      <c r="Q34" s="439"/>
      <c r="R34" s="439"/>
    </row>
    <row r="35" spans="2:18" ht="12.75">
      <c r="B35" s="440"/>
      <c r="E35" s="439"/>
      <c r="F35" s="439"/>
      <c r="H35" s="439"/>
      <c r="I35" s="439"/>
      <c r="K35" s="439"/>
      <c r="L35" s="439"/>
      <c r="N35" s="439"/>
      <c r="O35" s="439"/>
      <c r="Q35" s="439"/>
      <c r="R35" s="439"/>
    </row>
    <row r="36" spans="2:18" ht="12.75">
      <c r="B36" s="440"/>
      <c r="E36" s="439"/>
      <c r="F36" s="439"/>
      <c r="H36" s="439"/>
      <c r="I36" s="439"/>
      <c r="K36" s="439"/>
      <c r="L36" s="439"/>
      <c r="N36" s="439"/>
      <c r="O36" s="439"/>
      <c r="P36" s="442"/>
      <c r="Q36" s="439"/>
      <c r="R36" s="439"/>
    </row>
    <row r="37" spans="3:12" ht="12.75">
      <c r="C37" s="442"/>
      <c r="D37" s="442"/>
      <c r="E37" s="446"/>
      <c r="F37" s="442"/>
      <c r="G37" s="442"/>
      <c r="H37" s="446"/>
      <c r="I37" s="442"/>
      <c r="J37" s="442"/>
      <c r="L37" s="442"/>
    </row>
  </sheetData>
  <sheetProtection/>
  <dataValidations count="7">
    <dataValidation errorStyle="warning" type="whole" allowBlank="1" showInputMessage="1" showErrorMessage="1" errorTitle="POZOR !" error="Moguće je upisati isključivo broj od 1-12 !" sqref="A2:B13">
      <formula1>1</formula1>
      <formula2>12</formula2>
    </dataValidation>
    <dataValidation errorStyle="warning" type="list" allowBlank="1" showInputMessage="1" showErrorMessage="1" errorTitle="OPREZ !" error="Unose se samo velika štampana slova A,B,C,D ili E" sqref="E2:E13 H2:H13 K2:K13 N2:N13 Q2:Q13">
      <formula1>$T$1:$X$1</formula1>
    </dataValidation>
    <dataValidation errorStyle="warning" type="whole" allowBlank="1" showInputMessage="1" showErrorMessage="1" errorTitle="POZOR" error="Moguće je upisati isključivo broj od 1-12!" sqref="R2:R13 O2:O13 L2:L13 I2:I13 F2:F13">
      <formula1>1</formula1>
      <formula2>12</formula2>
    </dataValidation>
    <dataValidation allowBlank="1" showInputMessage="1" showErrorMessage="1" promptTitle="SAVJET !" prompt="Preporuča se da se ekipe, kao i imena i prezimena natjecatelja u susjednim kolonama,ne pišu velikim slovima i da se ne koriste navodnici jer se time nepotrebno zauzima mjesto u tabelama.Upišite npr:&#10;Ilova Garešnica  , Dražen Červeni" sqref="C2"/>
    <dataValidation type="whole" allowBlank="1" showInputMessage="1" showErrorMessage="1" promptTitle="OPREZ !" prompt="Ovdje ne unosi ništa jer polje sadržava formulu za KONTROLU DUPLIH UPISA sektora, redosljeda izvlačenja i jedinstvenog startnog broja." errorTitle="STANI !" error="Polje sadrži formulu koja se ne smije dirati, ODUSTANI ! " sqref="Y2:Y13">
      <formula1>0</formula1>
      <formula2>0</formula2>
    </dataValidation>
    <dataValidation type="whole" allowBlank="1" showInputMessage="1" showErrorMessage="1" promptTitle="OPREZ !" prompt="Ovdje ne unosi i ne briši ništa jer polje sadržava formulu. Ovo područje služi isključivo za sortiranja startnih listi kada su sektori razdvojeni.Po ispisu startnih lista ostavi sortirano po koloni &quot;A&quot;:" errorTitle="STANI !" error="Polje sadrži formule koje se ne smiju dirati, ODUSTANI !" sqref="T2:X13">
      <formula1>0</formula1>
      <formula2>0</formula2>
    </dataValidation>
    <dataValidation errorStyle="warning" type="textLength" allowBlank="1" showInputMessage="1" showErrorMessage="1" errorTitle="OPREZ !" error="Provjeri što unosiš, ODUSTANI !" sqref="C3:C13 D2:D13 G2:G13 J2:J13 M2:M13 P2:P13 S2:S13">
      <formula1>3</formula1>
      <formula2>50</formula2>
    </dataValidation>
  </dataValidations>
  <printOptions horizontalCentered="1"/>
  <pageMargins left="0.2755905511811024" right="0.5" top="1.1" bottom="0.3937007874015748" header="0.62" footer="0.3937007874015748"/>
  <pageSetup blackAndWhite="1" horizontalDpi="300" verticalDpi="300" orientation="landscape" paperSize="9" scale="82" r:id="rId4"/>
  <headerFooter alignWithMargins="0">
    <oddHeader>&amp;C&amp;"Arial,Podebljano"&amp;18Prijava ekipa i izvlačenja brojeva&amp;R&amp;12&amp;D   &amp;T h</oddHeader>
    <oddFooter>&amp;C&amp;"Arial,Kurziv"&amp;14&amp;YProgram za izračun rezultata i provođenje natjecanja&amp;R&amp;14NIJE POTREBNO UPISIVATI U PRIJAVNICE !</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List3">
    <tabColor indexed="51"/>
  </sheetPr>
  <dimension ref="A1:H110"/>
  <sheetViews>
    <sheetView showRowColHeaders="0" zoomScalePageLayoutView="0" workbookViewId="0" topLeftCell="A1">
      <selection activeCell="M9" sqref="M9"/>
    </sheetView>
  </sheetViews>
  <sheetFormatPr defaultColWidth="9.140625" defaultRowHeight="12.75"/>
  <cols>
    <col min="1" max="1" width="5.7109375" style="16" customWidth="1"/>
    <col min="2" max="2" width="23.421875" style="16" customWidth="1"/>
    <col min="3" max="3" width="21.00390625" style="16" customWidth="1"/>
    <col min="4" max="4" width="11.28125" style="16" customWidth="1"/>
    <col min="5" max="5" width="9.00390625" style="16" customWidth="1"/>
    <col min="6" max="6" width="11.421875" style="16" customWidth="1"/>
    <col min="7" max="16384" width="9.140625" style="16" customWidth="1"/>
  </cols>
  <sheetData>
    <row r="1" spans="1:6" ht="12.75">
      <c r="A1" s="250" t="s">
        <v>172</v>
      </c>
      <c r="B1" s="251"/>
      <c r="C1" s="301">
        <f>IF(ISNONTEXT('Organizacija natjecanja'!$H$2)=TRUE,"",'Organizacija natjecanja'!$H$2)</f>
      </c>
      <c r="D1" s="253"/>
      <c r="E1" s="254"/>
      <c r="F1" s="255"/>
    </row>
    <row r="2" spans="1:6" ht="12.75">
      <c r="A2" s="256" t="s">
        <v>173</v>
      </c>
      <c r="B2" s="257"/>
      <c r="C2" s="302">
        <f>IF(ISNONTEXT('Organizacija natjecanja'!$H$5)=TRUE,"",'Organizacija natjecanja'!$H$5)</f>
      </c>
      <c r="D2" s="259"/>
      <c r="E2" s="258"/>
      <c r="F2" s="260"/>
    </row>
    <row r="3" spans="1:8" ht="12.75" customHeight="1">
      <c r="A3" s="256" t="s">
        <v>174</v>
      </c>
      <c r="B3" s="257"/>
      <c r="C3" s="261">
        <f>IF(ISNONTEXT('Organizacija natjecanja'!$H$7)=TRUE,"",'Organizacija natjecanja'!$H$7)</f>
      </c>
      <c r="D3" s="262"/>
      <c r="E3" s="263"/>
      <c r="F3" s="264"/>
      <c r="H3" s="144"/>
    </row>
    <row r="4" spans="1:6" ht="12.75">
      <c r="A4" s="256" t="s">
        <v>175</v>
      </c>
      <c r="B4" s="257"/>
      <c r="C4" s="261">
        <f>IF(ISNONTEXT('Organizacija natjecanja'!$H$13)=TRUE,"",'Organizacija natjecanja'!$H$13)</f>
      </c>
      <c r="D4" s="262"/>
      <c r="E4" s="263"/>
      <c r="F4" s="264"/>
    </row>
    <row r="5" spans="1:6" ht="12.75">
      <c r="A5" s="256" t="s">
        <v>176</v>
      </c>
      <c r="B5" s="257"/>
      <c r="C5" s="261">
        <f>IF(ISNONTEXT('Organizacija natjecanja'!$H$4)=TRUE,"",'Organizacija natjecanja'!$H$4)</f>
      </c>
      <c r="D5" s="262"/>
      <c r="E5" s="263"/>
      <c r="F5" s="264"/>
    </row>
    <row r="6" spans="1:6" ht="12.75">
      <c r="A6" s="256"/>
      <c r="B6" s="257"/>
      <c r="C6" s="261"/>
      <c r="D6" s="262"/>
      <c r="E6" s="263"/>
      <c r="F6" s="264"/>
    </row>
    <row r="7" spans="1:6" ht="14.25" customHeight="1">
      <c r="A7" s="265" t="s">
        <v>67</v>
      </c>
      <c r="B7" s="266"/>
      <c r="C7" s="267">
        <f>IF(ISBLANK('Organizacija natjecanja'!$H$9)=TRUE,"",'Organizacija natjecanja'!$H$9)</f>
      </c>
      <c r="D7" s="268"/>
      <c r="E7" s="269"/>
      <c r="F7" s="270"/>
    </row>
    <row r="8" spans="1:6" ht="12.75">
      <c r="A8" s="299"/>
      <c r="B8" s="289"/>
      <c r="C8" s="290"/>
      <c r="D8" s="291"/>
      <c r="E8" s="292"/>
      <c r="F8" s="300"/>
    </row>
    <row r="9" spans="1:6" ht="12.75">
      <c r="A9" s="271" t="s">
        <v>177</v>
      </c>
      <c r="B9" s="272"/>
      <c r="C9" s="272"/>
      <c r="D9" s="273"/>
      <c r="E9" s="272"/>
      <c r="F9" s="274"/>
    </row>
    <row r="10" spans="1:6" ht="12.75">
      <c r="A10" s="275" t="s">
        <v>178</v>
      </c>
      <c r="B10" s="276" t="s">
        <v>21</v>
      </c>
      <c r="C10" s="276" t="s">
        <v>20</v>
      </c>
      <c r="D10" s="277" t="s">
        <v>179</v>
      </c>
      <c r="E10" s="278" t="s">
        <v>180</v>
      </c>
      <c r="F10" s="279" t="s">
        <v>181</v>
      </c>
    </row>
    <row r="11" spans="1:6" ht="12.75">
      <c r="A11" s="286">
        <f>IF(ISNUMBER(F11)=FALSE,"",1)</f>
      </c>
      <c r="B11" s="295">
        <f>IF(ISNONTEXT('Sektorski plasman'!D8)=TRUE,"",'Sektorski plasman'!D8)</f>
      </c>
      <c r="C11" s="296">
        <f>IF(ISNONTEXT('Sektorski plasman'!E8)=TRUE,"",'Sektorski plasman'!E8)</f>
      </c>
      <c r="D11" s="345">
        <f>IF(ISNUMBER('Sektorski plasman'!B8)=FALSE,"",'Sektorski plasman'!B8)</f>
      </c>
      <c r="E11" s="287">
        <f>IF(ISNUMBER('Sektorski plasman'!C8)=FALSE,"",'Sektorski plasman'!C8)</f>
      </c>
      <c r="F11" s="288">
        <f>IF(ISNUMBER('Sektorski plasman'!A8)=FALSE,"",'Sektorski plasman'!A8)</f>
      </c>
    </row>
    <row r="12" spans="1:6" ht="12.75">
      <c r="A12" s="280">
        <f>IF(ISNUMBER(F12)=FALSE,"",2)</f>
      </c>
      <c r="B12" s="297">
        <f>IF(ISNONTEXT('Sektorski plasman'!D9)=TRUE,"",'Sektorski plasman'!D9)</f>
      </c>
      <c r="C12" s="298">
        <f>IF(ISNONTEXT('Sektorski plasman'!E9)=TRUE,"",'Sektorski plasman'!E9)</f>
      </c>
      <c r="D12" s="346">
        <f>IF(ISNUMBER('Sektorski plasman'!B9)=FALSE,"",'Sektorski plasman'!B9)</f>
      </c>
      <c r="E12" s="281">
        <f>IF(ISNUMBER('Sektorski plasman'!C9)=FALSE,"",'Sektorski plasman'!C9)</f>
      </c>
      <c r="F12" s="282">
        <f>IF(ISNUMBER('Sektorski plasman'!A9)=FALSE,"",'Sektorski plasman'!A9)</f>
      </c>
    </row>
    <row r="13" spans="1:6" ht="12.75">
      <c r="A13" s="280">
        <f>IF(ISNUMBER(F13)=FALSE,"",3)</f>
      </c>
      <c r="B13" s="297">
        <f>IF(ISNONTEXT('Sektorski plasman'!D10)=TRUE,"",'Sektorski plasman'!D10)</f>
      </c>
      <c r="C13" s="298">
        <f>IF(ISNONTEXT('Sektorski plasman'!E10)=TRUE,"",'Sektorski plasman'!E10)</f>
      </c>
      <c r="D13" s="346">
        <f>IF(ISNUMBER('Sektorski plasman'!B10)=FALSE,"",'Sektorski plasman'!B10)</f>
      </c>
      <c r="E13" s="281">
        <f>IF(ISNUMBER('Sektorski plasman'!C10)=FALSE,"",'Sektorski plasman'!C10)</f>
      </c>
      <c r="F13" s="282">
        <f>IF(ISNUMBER('Sektorski plasman'!A10)=FALSE,"",'Sektorski plasman'!A10)</f>
      </c>
    </row>
    <row r="14" spans="1:6" ht="12.75">
      <c r="A14" s="280">
        <f>IF(ISNUMBER(F14)=FALSE,"",4)</f>
      </c>
      <c r="B14" s="297">
        <f>IF(ISNONTEXT('Sektorski plasman'!D11)=TRUE,"",'Sektorski plasman'!D11)</f>
      </c>
      <c r="C14" s="298">
        <f>IF(ISNONTEXT('Sektorski plasman'!E11)=TRUE,"",'Sektorski plasman'!E11)</f>
      </c>
      <c r="D14" s="346">
        <f>IF(ISNUMBER('Sektorski plasman'!B11)=FALSE,"",'Sektorski plasman'!B11)</f>
      </c>
      <c r="E14" s="281">
        <f>IF(ISNUMBER('Sektorski plasman'!C11)=FALSE,"",'Sektorski plasman'!C11)</f>
      </c>
      <c r="F14" s="282">
        <f>IF(ISNUMBER('Sektorski plasman'!A11)=FALSE,"",'Sektorski plasman'!A11)</f>
      </c>
    </row>
    <row r="15" spans="1:6" ht="12.75">
      <c r="A15" s="280">
        <f>IF(ISNUMBER(F15)=FALSE,"",5)</f>
      </c>
      <c r="B15" s="297">
        <f>IF(ISNONTEXT('Sektorski plasman'!D12)=TRUE,"",'Sektorski plasman'!D12)</f>
      </c>
      <c r="C15" s="298">
        <f>IF(ISNONTEXT('Sektorski plasman'!E12)=TRUE,"",'Sektorski plasman'!E12)</f>
      </c>
      <c r="D15" s="346">
        <f>IF(ISNUMBER('Sektorski plasman'!B12)=FALSE,"",'Sektorski plasman'!B12)</f>
      </c>
      <c r="E15" s="281">
        <f>IF(ISNUMBER('Sektorski plasman'!C12)=FALSE,"",'Sektorski plasman'!C12)</f>
      </c>
      <c r="F15" s="282">
        <f>IF(ISNUMBER('Sektorski plasman'!A12)=FALSE,"",'Sektorski plasman'!A12)</f>
      </c>
    </row>
    <row r="16" spans="1:6" ht="12.75">
      <c r="A16" s="280">
        <f>IF(ISNUMBER(F16)=FALSE,"",6)</f>
      </c>
      <c r="B16" s="297">
        <f>IF(ISNONTEXT('Sektorski plasman'!D13)=TRUE,"",'Sektorski plasman'!D13)</f>
      </c>
      <c r="C16" s="298">
        <f>IF(ISNONTEXT('Sektorski plasman'!E13)=TRUE,"",'Sektorski plasman'!E13)</f>
      </c>
      <c r="D16" s="346">
        <f>IF(ISNUMBER('Sektorski plasman'!B13)=FALSE,"",'Sektorski plasman'!B13)</f>
      </c>
      <c r="E16" s="281">
        <f>IF(ISNUMBER('Sektorski plasman'!C13)=FALSE,"",'Sektorski plasman'!C13)</f>
      </c>
      <c r="F16" s="282">
        <f>IF(ISNUMBER('Sektorski plasman'!A13)=FALSE,"",'Sektorski plasman'!A13)</f>
      </c>
    </row>
    <row r="17" spans="1:6" ht="12.75">
      <c r="A17" s="280">
        <f>IF(ISNUMBER(F17)=FALSE,"",7)</f>
      </c>
      <c r="B17" s="297">
        <f>IF(ISNONTEXT('Sektorski plasman'!D14)=TRUE,"",'Sektorski plasman'!D14)</f>
      </c>
      <c r="C17" s="298">
        <f>IF(ISNONTEXT('Sektorski plasman'!E14)=TRUE,"",'Sektorski plasman'!E14)</f>
      </c>
      <c r="D17" s="346">
        <f>IF(ISNUMBER('Sektorski plasman'!B14)=FALSE,"",'Sektorski plasman'!B14)</f>
      </c>
      <c r="E17" s="281">
        <f>IF(ISNUMBER('Sektorski plasman'!C14)=FALSE,"",'Sektorski plasman'!C14)</f>
      </c>
      <c r="F17" s="282">
        <f>IF(ISNUMBER('Sektorski plasman'!A14)=FALSE,"",'Sektorski plasman'!A14)</f>
      </c>
    </row>
    <row r="18" spans="1:6" ht="12.75">
      <c r="A18" s="280">
        <f>IF(ISNUMBER(F18)=FALSE,"",8)</f>
      </c>
      <c r="B18" s="297">
        <f>IF(ISNONTEXT('Sektorski plasman'!D15)=TRUE,"",'Sektorski plasman'!D15)</f>
      </c>
      <c r="C18" s="298">
        <f>IF(ISNONTEXT('Sektorski plasman'!E15)=TRUE,"",'Sektorski plasman'!E15)</f>
      </c>
      <c r="D18" s="346">
        <f>IF(ISNUMBER('Sektorski plasman'!B15)=FALSE,"",'Sektorski plasman'!B15)</f>
      </c>
      <c r="E18" s="281">
        <f>IF(ISNUMBER('Sektorski plasman'!C15)=FALSE,"",'Sektorski plasman'!C15)</f>
      </c>
      <c r="F18" s="282">
        <f>IF(ISNUMBER('Sektorski plasman'!A15)=FALSE,"",'Sektorski plasman'!A15)</f>
      </c>
    </row>
    <row r="19" spans="1:6" ht="12.75">
      <c r="A19" s="280">
        <f>IF(ISNUMBER(F19)=FALSE,"",9)</f>
      </c>
      <c r="B19" s="297">
        <f>IF(ISNONTEXT('Sektorski plasman'!D16)=TRUE,"",'Sektorski plasman'!D16)</f>
      </c>
      <c r="C19" s="298">
        <f>IF(ISNONTEXT('Sektorski plasman'!E16)=TRUE,"",'Sektorski plasman'!E16)</f>
      </c>
      <c r="D19" s="346">
        <f>IF(ISNUMBER('Sektorski plasman'!B16)=FALSE,"",'Sektorski plasman'!B16)</f>
      </c>
      <c r="E19" s="281">
        <f>IF(ISNUMBER('Sektorski plasman'!C16)=FALSE,"",'Sektorski plasman'!C16)</f>
      </c>
      <c r="F19" s="282">
        <f>IF(ISNUMBER('Sektorski plasman'!A16)=FALSE,"",'Sektorski plasman'!A16)</f>
      </c>
    </row>
    <row r="20" spans="1:6" ht="12.75">
      <c r="A20" s="280">
        <f>IF(ISNUMBER(F20)=FALSE,"",10)</f>
      </c>
      <c r="B20" s="297">
        <f>IF(ISNONTEXT('Sektorski plasman'!D17)=TRUE,"",'Sektorski plasman'!D17)</f>
      </c>
      <c r="C20" s="298">
        <f>IF(ISNONTEXT('Sektorski plasman'!E17)=TRUE,"",'Sektorski plasman'!E17)</f>
      </c>
      <c r="D20" s="346">
        <f>IF(ISNUMBER('Sektorski plasman'!B17)=FALSE,"",'Sektorski plasman'!B17)</f>
      </c>
      <c r="E20" s="281">
        <f>IF(ISNUMBER('Sektorski plasman'!C17)=FALSE,"",'Sektorski plasman'!C17)</f>
      </c>
      <c r="F20" s="282">
        <f>IF(ISNUMBER('Sektorski plasman'!A17)=FALSE,"",'Sektorski plasman'!A17)</f>
      </c>
    </row>
    <row r="21" spans="1:6" ht="12.75">
      <c r="A21" s="280">
        <f>IF(ISNUMBER(F21)=FALSE,"",11)</f>
      </c>
      <c r="B21" s="297">
        <f>IF(ISNONTEXT('Sektorski plasman'!D18)=TRUE,"",'Sektorski plasman'!D18)</f>
      </c>
      <c r="C21" s="298">
        <f>IF(ISNONTEXT('Sektorski plasman'!E18)=TRUE,"",'Sektorski plasman'!E18)</f>
      </c>
      <c r="D21" s="346">
        <f>IF(ISNUMBER('Sektorski plasman'!B18)=FALSE,"",'Sektorski plasman'!B18)</f>
      </c>
      <c r="E21" s="281">
        <f>IF(ISNUMBER('Sektorski plasman'!C18)=FALSE,"",'Sektorski plasman'!C18)</f>
      </c>
      <c r="F21" s="282">
        <f>IF(ISNUMBER('Sektorski plasman'!A18)=FALSE,"",'Sektorski plasman'!A18)</f>
      </c>
    </row>
    <row r="22" spans="1:6" ht="12.75">
      <c r="A22" s="283">
        <f>IF(ISNUMBER(F22)=FALSE,"",12)</f>
      </c>
      <c r="B22" s="293">
        <f>IF(ISNONTEXT('Sektorski plasman'!D19)=TRUE,"",'Sektorski plasman'!D19)</f>
      </c>
      <c r="C22" s="294">
        <f>IF(ISNONTEXT('Sektorski plasman'!E19)=TRUE,"",'Sektorski plasman'!E19)</f>
      </c>
      <c r="D22" s="347">
        <f>IF(ISNUMBER('Sektorski plasman'!B19)=FALSE,"",'Sektorski plasman'!B19)</f>
      </c>
      <c r="E22" s="284">
        <f>IF(ISNUMBER('Sektorski plasman'!C19)=FALSE,"",'Sektorski plasman'!C19)</f>
      </c>
      <c r="F22" s="285">
        <f>IF(ISNUMBER('Sektorski plasman'!A19)=FALSE,"",'Sektorski plasman'!A19)</f>
      </c>
    </row>
    <row r="25" ht="15.75">
      <c r="A25" s="83"/>
    </row>
    <row r="26" spans="1:7" ht="12.75">
      <c r="A26" s="271" t="s">
        <v>182</v>
      </c>
      <c r="B26" s="272"/>
      <c r="C26" s="272"/>
      <c r="D26" s="273"/>
      <c r="E26" s="272"/>
      <c r="F26" s="274"/>
      <c r="G26" s="57"/>
    </row>
    <row r="27" spans="1:6" ht="12.75">
      <c r="A27" s="275" t="s">
        <v>178</v>
      </c>
      <c r="B27" s="276" t="s">
        <v>21</v>
      </c>
      <c r="C27" s="276" t="s">
        <v>20</v>
      </c>
      <c r="D27" s="277" t="s">
        <v>179</v>
      </c>
      <c r="E27" s="278" t="s">
        <v>180</v>
      </c>
      <c r="F27" s="279" t="s">
        <v>181</v>
      </c>
    </row>
    <row r="28" spans="1:6" ht="12.75">
      <c r="A28" s="286">
        <f>IF(ISNUMBER(F28)=FALSE,"",1)</f>
      </c>
      <c r="B28" s="295">
        <f>IF(ISNONTEXT('Sektorski plasman'!D25)=TRUE,"",'Sektorski plasman'!D25)</f>
      </c>
      <c r="C28" s="296">
        <f>IF(ISNONTEXT('Sektorski plasman'!E25)=TRUE,"",'Sektorski plasman'!E25)</f>
      </c>
      <c r="D28" s="345">
        <f>IF(ISNUMBER('Sektorski plasman'!B25)=FALSE,"",'Sektorski plasman'!B25)</f>
      </c>
      <c r="E28" s="287">
        <f>IF(ISNUMBER('Sektorski plasman'!C25)=FALSE,"",'Sektorski plasman'!C25)</f>
      </c>
      <c r="F28" s="288">
        <f>IF(ISNUMBER('Sektorski plasman'!A25)=FALSE,"",'Sektorski plasman'!A25)</f>
      </c>
    </row>
    <row r="29" spans="1:6" ht="12.75">
      <c r="A29" s="280">
        <f>IF(ISNUMBER(F29)=FALSE,"",2)</f>
      </c>
      <c r="B29" s="297">
        <f>IF(ISNONTEXT('Sektorski plasman'!D26)=TRUE,"",'Sektorski plasman'!D26)</f>
      </c>
      <c r="C29" s="298">
        <f>IF(ISNONTEXT('Sektorski plasman'!E26)=TRUE,"",'Sektorski plasman'!E26)</f>
      </c>
      <c r="D29" s="346">
        <f>IF(ISNUMBER('Sektorski plasman'!B26)=FALSE,"",'Sektorski plasman'!B26)</f>
      </c>
      <c r="E29" s="281">
        <f>IF(ISNUMBER('Sektorski plasman'!C26)=FALSE,"",'Sektorski plasman'!C26)</f>
      </c>
      <c r="F29" s="282">
        <f>IF(ISNUMBER('Sektorski plasman'!A26)=FALSE,"",'Sektorski plasman'!A26)</f>
      </c>
    </row>
    <row r="30" spans="1:6" ht="12.75">
      <c r="A30" s="280">
        <f>IF(ISNUMBER(F30)=FALSE,"",3)</f>
      </c>
      <c r="B30" s="297">
        <f>IF(ISNONTEXT('Sektorski plasman'!D27)=TRUE,"",'Sektorski plasman'!D27)</f>
      </c>
      <c r="C30" s="298">
        <f>IF(ISNONTEXT('Sektorski plasman'!E27)=TRUE,"",'Sektorski plasman'!E27)</f>
      </c>
      <c r="D30" s="346">
        <f>IF(ISNUMBER('Sektorski plasman'!B27)=FALSE,"",'Sektorski plasman'!B27)</f>
      </c>
      <c r="E30" s="281">
        <f>IF(ISNUMBER('Sektorski plasman'!C27)=FALSE,"",'Sektorski plasman'!C27)</f>
      </c>
      <c r="F30" s="282">
        <f>IF(ISNUMBER('Sektorski plasman'!A27)=FALSE,"",'Sektorski plasman'!A27)</f>
      </c>
    </row>
    <row r="31" spans="1:6" ht="12.75">
      <c r="A31" s="280">
        <f>IF(ISNUMBER(F31)=FALSE,"",4)</f>
      </c>
      <c r="B31" s="297">
        <f>IF(ISNONTEXT('Sektorski plasman'!D28)=TRUE,"",'Sektorski plasman'!D28)</f>
      </c>
      <c r="C31" s="298">
        <f>IF(ISNONTEXT('Sektorski plasman'!E28)=TRUE,"",'Sektorski plasman'!E28)</f>
      </c>
      <c r="D31" s="346">
        <f>IF(ISNUMBER('Sektorski plasman'!B28)=FALSE,"",'Sektorski plasman'!B28)</f>
      </c>
      <c r="E31" s="281">
        <f>IF(ISNUMBER('Sektorski plasman'!C28)=FALSE,"",'Sektorski plasman'!C28)</f>
      </c>
      <c r="F31" s="282">
        <f>IF(ISNUMBER('Sektorski plasman'!A28)=FALSE,"",'Sektorski plasman'!A28)</f>
      </c>
    </row>
    <row r="32" spans="1:6" ht="12.75">
      <c r="A32" s="280">
        <f>IF(ISNUMBER(F32)=FALSE,"",5)</f>
      </c>
      <c r="B32" s="297">
        <f>IF(ISNONTEXT('Sektorski plasman'!D29)=TRUE,"",'Sektorski plasman'!D29)</f>
      </c>
      <c r="C32" s="298">
        <f>IF(ISNONTEXT('Sektorski plasman'!E29)=TRUE,"",'Sektorski plasman'!E29)</f>
      </c>
      <c r="D32" s="346">
        <f>IF(ISNUMBER('Sektorski plasman'!B29)=FALSE,"",'Sektorski plasman'!B29)</f>
      </c>
      <c r="E32" s="281">
        <f>IF(ISNUMBER('Sektorski plasman'!C29)=FALSE,"",'Sektorski plasman'!C29)</f>
      </c>
      <c r="F32" s="282">
        <f>IF(ISNUMBER('Sektorski plasman'!A29)=FALSE,"",'Sektorski plasman'!A29)</f>
      </c>
    </row>
    <row r="33" spans="1:6" ht="12.75">
      <c r="A33" s="280">
        <f>IF(ISNUMBER(F33)=FALSE,"",6)</f>
      </c>
      <c r="B33" s="297">
        <f>IF(ISNONTEXT('Sektorski plasman'!D30)=TRUE,"",'Sektorski plasman'!D30)</f>
      </c>
      <c r="C33" s="298">
        <f>IF(ISNONTEXT('Sektorski plasman'!E30)=TRUE,"",'Sektorski plasman'!E30)</f>
      </c>
      <c r="D33" s="346">
        <f>IF(ISNUMBER('Sektorski plasman'!B30)=FALSE,"",'Sektorski plasman'!B30)</f>
      </c>
      <c r="E33" s="281">
        <f>IF(ISNUMBER('Sektorski plasman'!C30)=FALSE,"",'Sektorski plasman'!C30)</f>
      </c>
      <c r="F33" s="282">
        <f>IF(ISNUMBER('Sektorski plasman'!A30)=FALSE,"",'Sektorski plasman'!A30)</f>
      </c>
    </row>
    <row r="34" spans="1:6" ht="12.75">
      <c r="A34" s="280">
        <f>IF(ISNUMBER(F34)=FALSE,"",7)</f>
      </c>
      <c r="B34" s="297">
        <f>IF(ISNONTEXT('Sektorski plasman'!D31)=TRUE,"",'Sektorski plasman'!D31)</f>
      </c>
      <c r="C34" s="298">
        <f>IF(ISNONTEXT('Sektorski plasman'!E31)=TRUE,"",'Sektorski plasman'!E31)</f>
      </c>
      <c r="D34" s="346">
        <f>IF(ISNUMBER('Sektorski plasman'!B31)=FALSE,"",'Sektorski plasman'!B31)</f>
      </c>
      <c r="E34" s="281">
        <f>IF(ISNUMBER('Sektorski plasman'!C31)=FALSE,"",'Sektorski plasman'!C31)</f>
      </c>
      <c r="F34" s="282">
        <f>IF(ISNUMBER('Sektorski plasman'!A31)=FALSE,"",'Sektorski plasman'!A31)</f>
      </c>
    </row>
    <row r="35" spans="1:6" ht="12.75">
      <c r="A35" s="280">
        <f>IF(ISNUMBER(F35)=FALSE,"",8)</f>
      </c>
      <c r="B35" s="297">
        <f>IF(ISNONTEXT('Sektorski plasman'!D32)=TRUE,"",'Sektorski plasman'!D32)</f>
      </c>
      <c r="C35" s="298">
        <f>IF(ISNONTEXT('Sektorski plasman'!E32)=TRUE,"",'Sektorski plasman'!E32)</f>
      </c>
      <c r="D35" s="346">
        <f>IF(ISNUMBER('Sektorski plasman'!B32)=FALSE,"",'Sektorski plasman'!B32)</f>
      </c>
      <c r="E35" s="281">
        <f>IF(ISNUMBER('Sektorski plasman'!C32)=FALSE,"",'Sektorski plasman'!C32)</f>
      </c>
      <c r="F35" s="282">
        <f>IF(ISNUMBER('Sektorski plasman'!A32)=FALSE,"",'Sektorski plasman'!A32)</f>
      </c>
    </row>
    <row r="36" spans="1:6" ht="12.75">
      <c r="A36" s="280">
        <f>IF(ISNUMBER(F36)=FALSE,"",9)</f>
      </c>
      <c r="B36" s="297">
        <f>IF(ISNONTEXT('Sektorski plasman'!D33)=TRUE,"",'Sektorski plasman'!D33)</f>
      </c>
      <c r="C36" s="298">
        <f>IF(ISNONTEXT('Sektorski plasman'!E33)=TRUE,"",'Sektorski plasman'!E33)</f>
      </c>
      <c r="D36" s="346">
        <f>IF(ISNUMBER('Sektorski plasman'!B33)=FALSE,"",'Sektorski plasman'!B33)</f>
      </c>
      <c r="E36" s="281">
        <f>IF(ISNUMBER('Sektorski plasman'!C33)=FALSE,"",'Sektorski plasman'!C33)</f>
      </c>
      <c r="F36" s="282">
        <f>IF(ISNUMBER('Sektorski plasman'!A33)=FALSE,"",'Sektorski plasman'!A33)</f>
      </c>
    </row>
    <row r="37" spans="1:6" ht="12.75">
      <c r="A37" s="280">
        <f>IF(ISNUMBER(F37)=FALSE,"",10)</f>
      </c>
      <c r="B37" s="297">
        <f>IF(ISNONTEXT('Sektorski plasman'!D34)=TRUE,"",'Sektorski plasman'!D34)</f>
      </c>
      <c r="C37" s="298">
        <f>IF(ISNONTEXT('Sektorski plasman'!E34)=TRUE,"",'Sektorski plasman'!E34)</f>
      </c>
      <c r="D37" s="346">
        <f>IF(ISNUMBER('Sektorski plasman'!B34)=FALSE,"",'Sektorski plasman'!B34)</f>
      </c>
      <c r="E37" s="281">
        <f>IF(ISNUMBER('Sektorski plasman'!C34)=FALSE,"",'Sektorski plasman'!C34)</f>
      </c>
      <c r="F37" s="282">
        <f>IF(ISNUMBER('Sektorski plasman'!A34)=FALSE,"",'Sektorski plasman'!A34)</f>
      </c>
    </row>
    <row r="38" spans="1:6" ht="12.75">
      <c r="A38" s="280">
        <f>IF(ISNUMBER(F38)=FALSE,"",11)</f>
      </c>
      <c r="B38" s="297">
        <f>IF(ISNONTEXT('Sektorski plasman'!D35)=TRUE,"",'Sektorski plasman'!D35)</f>
      </c>
      <c r="C38" s="298">
        <f>IF(ISNONTEXT('Sektorski plasman'!E35)=TRUE,"",'Sektorski plasman'!E35)</f>
      </c>
      <c r="D38" s="346">
        <f>IF(ISNUMBER('Sektorski plasman'!B35)=FALSE,"",'Sektorski plasman'!B35)</f>
      </c>
      <c r="E38" s="281">
        <f>IF(ISNUMBER('Sektorski plasman'!C35)=FALSE,"",'Sektorski plasman'!C35)</f>
      </c>
      <c r="F38" s="282">
        <f>IF(ISNUMBER('Sektorski plasman'!A35)=FALSE,"",'Sektorski plasman'!A35)</f>
      </c>
    </row>
    <row r="39" spans="1:6" ht="12.75">
      <c r="A39" s="283">
        <f>IF(ISNUMBER(F39)=FALSE,"",12)</f>
      </c>
      <c r="B39" s="293">
        <f>IF(ISNONTEXT('Sektorski plasman'!D36)=TRUE,"",'Sektorski plasman'!D36)</f>
      </c>
      <c r="C39" s="294">
        <f>IF(ISNONTEXT('Sektorski plasman'!E36)=TRUE,"",'Sektorski plasman'!E36)</f>
      </c>
      <c r="D39" s="347">
        <f>IF(ISNUMBER('Sektorski plasman'!B36)=FALSE,"",'Sektorski plasman'!B36)</f>
      </c>
      <c r="E39" s="284">
        <f>IF(ISNUMBER('Sektorski plasman'!C36)=FALSE,"",'Sektorski plasman'!C36)</f>
      </c>
      <c r="F39" s="285">
        <f>IF(ISNUMBER('Sektorski plasman'!A36)=FALSE,"",'Sektorski plasman'!A36)</f>
      </c>
    </row>
    <row r="42" ht="15.75">
      <c r="A42" s="83"/>
    </row>
    <row r="43" spans="1:7" ht="12.75">
      <c r="A43" s="271" t="s">
        <v>183</v>
      </c>
      <c r="B43" s="272"/>
      <c r="C43" s="272"/>
      <c r="D43" s="273"/>
      <c r="E43" s="272"/>
      <c r="F43" s="274"/>
      <c r="G43" s="57"/>
    </row>
    <row r="44" spans="1:6" ht="12.75">
      <c r="A44" s="275" t="s">
        <v>178</v>
      </c>
      <c r="B44" s="276" t="s">
        <v>21</v>
      </c>
      <c r="C44" s="276" t="s">
        <v>20</v>
      </c>
      <c r="D44" s="277" t="s">
        <v>179</v>
      </c>
      <c r="E44" s="278" t="s">
        <v>180</v>
      </c>
      <c r="F44" s="279" t="s">
        <v>181</v>
      </c>
    </row>
    <row r="45" spans="1:6" ht="12.75">
      <c r="A45" s="286">
        <f>IF(ISNUMBER(F45)=FALSE,"",1)</f>
      </c>
      <c r="B45" s="295">
        <f>IF(ISNONTEXT('Sektorski plasman'!D42)=TRUE,"",'Sektorski plasman'!D42)</f>
      </c>
      <c r="C45" s="296">
        <f>IF(ISNONTEXT('Sektorski plasman'!E42)=TRUE,"",'Sektorski plasman'!E42)</f>
      </c>
      <c r="D45" s="345">
        <f>IF(ISNUMBER('Sektorski plasman'!B42)=FALSE,"",'Sektorski plasman'!B42)</f>
      </c>
      <c r="E45" s="287">
        <f>IF(ISNUMBER('Sektorski plasman'!C42)=FALSE,"",'Sektorski plasman'!C42)</f>
      </c>
      <c r="F45" s="288">
        <f>IF(ISNUMBER('Sektorski plasman'!A42)=FALSE,"",'Sektorski plasman'!A42)</f>
      </c>
    </row>
    <row r="46" spans="1:6" ht="12.75">
      <c r="A46" s="280">
        <f>IF(ISNUMBER(F46)=FALSE,"",2)</f>
      </c>
      <c r="B46" s="297">
        <f>IF(ISNONTEXT('Sektorski plasman'!D43)=TRUE,"",'Sektorski plasman'!D43)</f>
      </c>
      <c r="C46" s="298">
        <f>IF(ISNONTEXT('Sektorski plasman'!E43)=TRUE,"",'Sektorski plasman'!E43)</f>
      </c>
      <c r="D46" s="346">
        <f>IF(ISNUMBER('Sektorski plasman'!B43)=FALSE,"",'Sektorski plasman'!B43)</f>
      </c>
      <c r="E46" s="281">
        <f>IF(ISNUMBER('Sektorski plasman'!C43)=FALSE,"",'Sektorski plasman'!C43)</f>
      </c>
      <c r="F46" s="282">
        <f>IF(ISNUMBER('Sektorski plasman'!A43)=FALSE,"",'Sektorski plasman'!A43)</f>
      </c>
    </row>
    <row r="47" spans="1:6" ht="12.75">
      <c r="A47" s="280">
        <f>IF(ISNUMBER(F47)=FALSE,"",3)</f>
      </c>
      <c r="B47" s="297">
        <f>IF(ISNONTEXT('Sektorski plasman'!D44)=TRUE,"",'Sektorski plasman'!D44)</f>
      </c>
      <c r="C47" s="298">
        <f>IF(ISNONTEXT('Sektorski plasman'!E44)=TRUE,"",'Sektorski plasman'!E44)</f>
      </c>
      <c r="D47" s="346">
        <f>IF(ISNUMBER('Sektorski plasman'!B44)=FALSE,"",'Sektorski plasman'!B44)</f>
      </c>
      <c r="E47" s="281">
        <f>IF(ISNUMBER('Sektorski plasman'!C44)=FALSE,"",'Sektorski plasman'!C44)</f>
      </c>
      <c r="F47" s="282">
        <f>IF(ISNUMBER('Sektorski plasman'!A44)=FALSE,"",'Sektorski plasman'!A44)</f>
      </c>
    </row>
    <row r="48" spans="1:6" ht="12.75">
      <c r="A48" s="280">
        <f>IF(ISNUMBER(F48)=FALSE,"",4)</f>
      </c>
      <c r="B48" s="297">
        <f>IF(ISNONTEXT('Sektorski plasman'!D45)=TRUE,"",'Sektorski plasman'!D45)</f>
      </c>
      <c r="C48" s="298">
        <f>IF(ISNONTEXT('Sektorski plasman'!E45)=TRUE,"",'Sektorski plasman'!E45)</f>
      </c>
      <c r="D48" s="346">
        <f>IF(ISNUMBER('Sektorski plasman'!B45)=FALSE,"",'Sektorski plasman'!B45)</f>
      </c>
      <c r="E48" s="281">
        <f>IF(ISNUMBER('Sektorski plasman'!C45)=FALSE,"",'Sektorski plasman'!C45)</f>
      </c>
      <c r="F48" s="282">
        <f>IF(ISNUMBER('Sektorski plasman'!A45)=FALSE,"",'Sektorski plasman'!A45)</f>
      </c>
    </row>
    <row r="49" spans="1:6" ht="12.75">
      <c r="A49" s="280">
        <f>IF(ISNUMBER(F49)=FALSE,"",5)</f>
      </c>
      <c r="B49" s="297">
        <f>IF(ISNONTEXT('Sektorski plasman'!D46)=TRUE,"",'Sektorski plasman'!D46)</f>
      </c>
      <c r="C49" s="298">
        <f>IF(ISNONTEXT('Sektorski plasman'!E46)=TRUE,"",'Sektorski plasman'!E46)</f>
      </c>
      <c r="D49" s="346">
        <f>IF(ISNUMBER('Sektorski plasman'!B46)=FALSE,"",'Sektorski plasman'!B46)</f>
      </c>
      <c r="E49" s="281">
        <f>IF(ISNUMBER('Sektorski plasman'!C46)=FALSE,"",'Sektorski plasman'!C46)</f>
      </c>
      <c r="F49" s="282">
        <f>IF(ISNUMBER('Sektorski plasman'!A46)=FALSE,"",'Sektorski plasman'!A46)</f>
      </c>
    </row>
    <row r="50" spans="1:6" ht="12.75">
      <c r="A50" s="280">
        <f>IF(ISNUMBER(F50)=FALSE,"",6)</f>
      </c>
      <c r="B50" s="297">
        <f>IF(ISNONTEXT('Sektorski plasman'!D47)=TRUE,"",'Sektorski plasman'!D47)</f>
      </c>
      <c r="C50" s="298">
        <f>IF(ISNONTEXT('Sektorski plasman'!E47)=TRUE,"",'Sektorski plasman'!E47)</f>
      </c>
      <c r="D50" s="346">
        <f>IF(ISNUMBER('Sektorski plasman'!B47)=FALSE,"",'Sektorski plasman'!B47)</f>
      </c>
      <c r="E50" s="281">
        <f>IF(ISNUMBER('Sektorski plasman'!C47)=FALSE,"",'Sektorski plasman'!C47)</f>
      </c>
      <c r="F50" s="282">
        <f>IF(ISNUMBER('Sektorski plasman'!A47)=FALSE,"",'Sektorski plasman'!A47)</f>
      </c>
    </row>
    <row r="51" spans="1:6" ht="12.75">
      <c r="A51" s="280">
        <f>IF(ISNUMBER(F51)=FALSE,"",7)</f>
      </c>
      <c r="B51" s="297">
        <f>IF(ISNONTEXT('Sektorski plasman'!D48)=TRUE,"",'Sektorski plasman'!D48)</f>
      </c>
      <c r="C51" s="298">
        <f>IF(ISNONTEXT('Sektorski plasman'!E48)=TRUE,"",'Sektorski plasman'!E48)</f>
      </c>
      <c r="D51" s="346">
        <f>IF(ISNUMBER('Sektorski plasman'!B48)=FALSE,"",'Sektorski plasman'!B48)</f>
      </c>
      <c r="E51" s="281">
        <f>IF(ISNUMBER('Sektorski plasman'!C48)=FALSE,"",'Sektorski plasman'!C48)</f>
      </c>
      <c r="F51" s="282">
        <f>IF(ISNUMBER('Sektorski plasman'!A48)=FALSE,"",'Sektorski plasman'!A48)</f>
      </c>
    </row>
    <row r="52" spans="1:6" ht="12.75">
      <c r="A52" s="280">
        <f>IF(ISNUMBER(F52)=FALSE,"",8)</f>
      </c>
      <c r="B52" s="297">
        <f>IF(ISNONTEXT('Sektorski plasman'!D49)=TRUE,"",'Sektorski plasman'!D49)</f>
      </c>
      <c r="C52" s="298">
        <f>IF(ISNONTEXT('Sektorski plasman'!E49)=TRUE,"",'Sektorski plasman'!E49)</f>
      </c>
      <c r="D52" s="346">
        <f>IF(ISNUMBER('Sektorski plasman'!B49)=FALSE,"",'Sektorski plasman'!B49)</f>
      </c>
      <c r="E52" s="281">
        <f>IF(ISNUMBER('Sektorski plasman'!C49)=FALSE,"",'Sektorski plasman'!C49)</f>
      </c>
      <c r="F52" s="282">
        <f>IF(ISNUMBER('Sektorski plasman'!A49)=FALSE,"",'Sektorski plasman'!A49)</f>
      </c>
    </row>
    <row r="53" spans="1:6" ht="12.75">
      <c r="A53" s="280">
        <f>IF(ISNUMBER(F53)=FALSE,"",9)</f>
      </c>
      <c r="B53" s="297">
        <f>IF(ISNONTEXT('Sektorski plasman'!D50)=TRUE,"",'Sektorski plasman'!D50)</f>
      </c>
      <c r="C53" s="298">
        <f>IF(ISNONTEXT('Sektorski plasman'!E50)=TRUE,"",'Sektorski plasman'!E50)</f>
      </c>
      <c r="D53" s="346">
        <f>IF(ISNUMBER('Sektorski plasman'!B50)=FALSE,"",'Sektorski plasman'!B50)</f>
      </c>
      <c r="E53" s="281">
        <f>IF(ISNUMBER('Sektorski plasman'!C50)=FALSE,"",'Sektorski plasman'!C50)</f>
      </c>
      <c r="F53" s="282">
        <f>IF(ISNUMBER('Sektorski plasman'!A50)=FALSE,"",'Sektorski plasman'!A50)</f>
      </c>
    </row>
    <row r="54" spans="1:6" ht="12.75">
      <c r="A54" s="280">
        <f>IF(ISNUMBER(F54)=FALSE,"",10)</f>
      </c>
      <c r="B54" s="297">
        <f>IF(ISNONTEXT('Sektorski plasman'!D51)=TRUE,"",'Sektorski plasman'!D51)</f>
      </c>
      <c r="C54" s="298">
        <f>IF(ISNONTEXT('Sektorski plasman'!E51)=TRUE,"",'Sektorski plasman'!E51)</f>
      </c>
      <c r="D54" s="346">
        <f>IF(ISNUMBER('Sektorski plasman'!B51)=FALSE,"",'Sektorski plasman'!B51)</f>
      </c>
      <c r="E54" s="281">
        <f>IF(ISNUMBER('Sektorski plasman'!C51)=FALSE,"",'Sektorski plasman'!C51)</f>
      </c>
      <c r="F54" s="282">
        <f>IF(ISNUMBER('Sektorski plasman'!A51)=FALSE,"",'Sektorski plasman'!A51)</f>
      </c>
    </row>
    <row r="55" spans="1:6" ht="12.75">
      <c r="A55" s="280">
        <f>IF(ISNUMBER(F55)=FALSE,"",11)</f>
      </c>
      <c r="B55" s="297">
        <f>IF(ISNONTEXT('Sektorski plasman'!D52)=TRUE,"",'Sektorski plasman'!D52)</f>
      </c>
      <c r="C55" s="298">
        <f>IF(ISNONTEXT('Sektorski plasman'!E52)=TRUE,"",'Sektorski plasman'!E52)</f>
      </c>
      <c r="D55" s="346">
        <f>IF(ISNUMBER('Sektorski plasman'!B52)=FALSE,"",'Sektorski plasman'!B52)</f>
      </c>
      <c r="E55" s="281">
        <f>IF(ISNUMBER('Sektorski plasman'!C52)=FALSE,"",'Sektorski plasman'!C52)</f>
      </c>
      <c r="F55" s="282">
        <f>IF(ISNUMBER('Sektorski plasman'!A52)=FALSE,"",'Sektorski plasman'!A52)</f>
      </c>
    </row>
    <row r="56" spans="1:6" ht="12.75">
      <c r="A56" s="283">
        <f>IF(ISNUMBER(F56)=FALSE,"",12)</f>
      </c>
      <c r="B56" s="293">
        <f>IF(ISNONTEXT('Sektorski plasman'!D53)=TRUE,"",'Sektorski plasman'!D53)</f>
      </c>
      <c r="C56" s="294">
        <f>IF(ISNONTEXT('Sektorski plasman'!E53)=TRUE,"",'Sektorski plasman'!E53)</f>
      </c>
      <c r="D56" s="347">
        <f>IF(ISNUMBER('Sektorski plasman'!B53)=FALSE,"",'Sektorski plasman'!B53)</f>
      </c>
      <c r="E56" s="284">
        <f>IF(ISNUMBER('Sektorski plasman'!C53)=FALSE,"",'Sektorski plasman'!C53)</f>
      </c>
      <c r="F56" s="285">
        <f>IF(ISNUMBER('Sektorski plasman'!A53)=FALSE,"",'Sektorski plasman'!A53)</f>
      </c>
    </row>
    <row r="58" spans="1:7" ht="12.75">
      <c r="A58" s="271" t="s">
        <v>184</v>
      </c>
      <c r="B58" s="272"/>
      <c r="C58" s="272"/>
      <c r="D58" s="273"/>
      <c r="E58" s="272"/>
      <c r="F58" s="274"/>
      <c r="G58" s="57"/>
    </row>
    <row r="59" spans="1:6" ht="12.75">
      <c r="A59" s="275" t="s">
        <v>178</v>
      </c>
      <c r="B59" s="276" t="s">
        <v>21</v>
      </c>
      <c r="C59" s="276" t="s">
        <v>20</v>
      </c>
      <c r="D59" s="277" t="s">
        <v>179</v>
      </c>
      <c r="E59" s="278" t="s">
        <v>180</v>
      </c>
      <c r="F59" s="279" t="s">
        <v>181</v>
      </c>
    </row>
    <row r="60" spans="1:6" ht="12.75">
      <c r="A60" s="286">
        <f>IF(ISNUMBER(F60)=FALSE,"",1)</f>
      </c>
      <c r="B60" s="295">
        <f>IF(ISNONTEXT('Sektorski plasman'!D61)=TRUE,"",'Sektorski plasman'!D61)</f>
      </c>
      <c r="C60" s="296">
        <f>IF(ISNONTEXT('Sektorski plasman'!E61)=TRUE,"",'Sektorski plasman'!E61)</f>
      </c>
      <c r="D60" s="345">
        <f>IF(ISNUMBER('Sektorski plasman'!B61)=FALSE,"",'Sektorski plasman'!B61)</f>
      </c>
      <c r="E60" s="287">
        <f>IF(ISNUMBER('Sektorski plasman'!C61)=FALSE,"",'Sektorski plasman'!C61)</f>
      </c>
      <c r="F60" s="288">
        <f>IF(ISNUMBER('Sektorski plasman'!A61)=FALSE,"",'Sektorski plasman'!A61)</f>
      </c>
    </row>
    <row r="61" spans="1:6" ht="12.75">
      <c r="A61" s="280">
        <f>IF(ISNUMBER(F61)=FALSE,"",2)</f>
      </c>
      <c r="B61" s="297">
        <f>IF(ISNONTEXT('Sektorski plasman'!D62)=TRUE,"",'Sektorski plasman'!D62)</f>
      </c>
      <c r="C61" s="298">
        <f>IF(ISNONTEXT('Sektorski plasman'!E62)=TRUE,"",'Sektorski plasman'!E62)</f>
      </c>
      <c r="D61" s="346">
        <f>IF(ISNUMBER('Sektorski plasman'!B62)=FALSE,"",'Sektorski plasman'!B62)</f>
      </c>
      <c r="E61" s="281">
        <f>IF(ISNUMBER('Sektorski plasman'!C62)=FALSE,"",'Sektorski plasman'!C62)</f>
      </c>
      <c r="F61" s="282">
        <f>IF(ISNUMBER('Sektorski plasman'!A62)=FALSE,"",'Sektorski plasman'!A62)</f>
      </c>
    </row>
    <row r="62" spans="1:6" ht="12.75">
      <c r="A62" s="280">
        <f>IF(ISNUMBER(F62)=FALSE,"",3)</f>
      </c>
      <c r="B62" s="297">
        <f>IF(ISNONTEXT('Sektorski plasman'!D63)=TRUE,"",'Sektorski plasman'!D63)</f>
      </c>
      <c r="C62" s="298">
        <f>IF(ISNONTEXT('Sektorski plasman'!E63)=TRUE,"",'Sektorski plasman'!E63)</f>
      </c>
      <c r="D62" s="346">
        <f>IF(ISNUMBER('Sektorski plasman'!B63)=FALSE,"",'Sektorski plasman'!B63)</f>
      </c>
      <c r="E62" s="281">
        <f>IF(ISNUMBER('Sektorski plasman'!C63)=FALSE,"",'Sektorski plasman'!C63)</f>
      </c>
      <c r="F62" s="282">
        <f>IF(ISNUMBER('Sektorski plasman'!A63)=FALSE,"",'Sektorski plasman'!A63)</f>
      </c>
    </row>
    <row r="63" spans="1:6" ht="12.75">
      <c r="A63" s="280">
        <f>IF(ISNUMBER(F63)=FALSE,"",4)</f>
      </c>
      <c r="B63" s="297">
        <f>IF(ISNONTEXT('Sektorski plasman'!D64)=TRUE,"",'Sektorski plasman'!D64)</f>
      </c>
      <c r="C63" s="298">
        <f>IF(ISNONTEXT('Sektorski plasman'!E64)=TRUE,"",'Sektorski plasman'!E64)</f>
      </c>
      <c r="D63" s="346">
        <f>IF(ISNUMBER('Sektorski plasman'!B64)=FALSE,"",'Sektorski plasman'!B64)</f>
      </c>
      <c r="E63" s="281">
        <f>IF(ISNUMBER('Sektorski plasman'!C64)=FALSE,"",'Sektorski plasman'!C64)</f>
      </c>
      <c r="F63" s="282">
        <f>IF(ISNUMBER('Sektorski plasman'!A64)=FALSE,"",'Sektorski plasman'!A64)</f>
      </c>
    </row>
    <row r="64" spans="1:6" ht="12.75">
      <c r="A64" s="280">
        <f>IF(ISNUMBER(F64)=FALSE,"",5)</f>
      </c>
      <c r="B64" s="297">
        <f>IF(ISNONTEXT('Sektorski plasman'!D65)=TRUE,"",'Sektorski plasman'!D65)</f>
      </c>
      <c r="C64" s="298">
        <f>IF(ISNONTEXT('Sektorski plasman'!E65)=TRUE,"",'Sektorski plasman'!E65)</f>
      </c>
      <c r="D64" s="346">
        <f>IF(ISNUMBER('Sektorski plasman'!B65)=FALSE,"",'Sektorski plasman'!B65)</f>
      </c>
      <c r="E64" s="281">
        <f>IF(ISNUMBER('Sektorski plasman'!C65)=FALSE,"",'Sektorski plasman'!C65)</f>
      </c>
      <c r="F64" s="282">
        <f>IF(ISNUMBER('Sektorski plasman'!A65)=FALSE,"",'Sektorski plasman'!A65)</f>
      </c>
    </row>
    <row r="65" spans="1:6" ht="12.75">
      <c r="A65" s="280">
        <f>IF(ISNUMBER(F65)=FALSE,"",6)</f>
      </c>
      <c r="B65" s="297">
        <f>IF(ISNONTEXT('Sektorski plasman'!D66)=TRUE,"",'Sektorski plasman'!D66)</f>
      </c>
      <c r="C65" s="298">
        <f>IF(ISNONTEXT('Sektorski plasman'!E66)=TRUE,"",'Sektorski plasman'!E66)</f>
      </c>
      <c r="D65" s="346">
        <f>IF(ISNUMBER('Sektorski plasman'!B66)=FALSE,"",'Sektorski plasman'!B66)</f>
      </c>
      <c r="E65" s="281">
        <f>IF(ISNUMBER('Sektorski plasman'!C66)=FALSE,"",'Sektorski plasman'!C66)</f>
      </c>
      <c r="F65" s="282">
        <f>IF(ISNUMBER('Sektorski plasman'!A66)=FALSE,"",'Sektorski plasman'!A66)</f>
      </c>
    </row>
    <row r="66" spans="1:6" ht="12.75">
      <c r="A66" s="280">
        <f>IF(ISNUMBER(F66)=FALSE,"",7)</f>
      </c>
      <c r="B66" s="297">
        <f>IF(ISNONTEXT('Sektorski plasman'!D67)=TRUE,"",'Sektorski plasman'!D67)</f>
      </c>
      <c r="C66" s="298">
        <f>IF(ISNONTEXT('Sektorski plasman'!E67)=TRUE,"",'Sektorski plasman'!E67)</f>
      </c>
      <c r="D66" s="346">
        <f>IF(ISNUMBER('Sektorski plasman'!B67)=FALSE,"",'Sektorski plasman'!B67)</f>
      </c>
      <c r="E66" s="281">
        <f>IF(ISNUMBER('Sektorski plasman'!C67)=FALSE,"",'Sektorski plasman'!C67)</f>
      </c>
      <c r="F66" s="282">
        <f>IF(ISNUMBER('Sektorski plasman'!A67)=FALSE,"",'Sektorski plasman'!A67)</f>
      </c>
    </row>
    <row r="67" spans="1:6" ht="12.75">
      <c r="A67" s="280">
        <f>IF(ISNUMBER(F67)=FALSE,"",8)</f>
      </c>
      <c r="B67" s="297">
        <f>IF(ISNONTEXT('Sektorski plasman'!D68)=TRUE,"",'Sektorski plasman'!D68)</f>
      </c>
      <c r="C67" s="298">
        <f>IF(ISNONTEXT('Sektorski plasman'!E68)=TRUE,"",'Sektorski plasman'!E68)</f>
      </c>
      <c r="D67" s="346">
        <f>IF(ISNUMBER('Sektorski plasman'!B68)=FALSE,"",'Sektorski plasman'!B68)</f>
      </c>
      <c r="E67" s="281">
        <f>IF(ISNUMBER('Sektorski plasman'!C68)=FALSE,"",'Sektorski plasman'!C68)</f>
      </c>
      <c r="F67" s="282">
        <f>IF(ISNUMBER('Sektorski plasman'!A68)=FALSE,"",'Sektorski plasman'!A68)</f>
      </c>
    </row>
    <row r="68" spans="1:6" ht="12.75">
      <c r="A68" s="280">
        <f>IF(ISNUMBER(F68)=FALSE,"",9)</f>
      </c>
      <c r="B68" s="297">
        <f>IF(ISNONTEXT('Sektorski plasman'!D69)=TRUE,"",'Sektorski plasman'!D69)</f>
      </c>
      <c r="C68" s="298">
        <f>IF(ISNONTEXT('Sektorski plasman'!E69)=TRUE,"",'Sektorski plasman'!E69)</f>
      </c>
      <c r="D68" s="346">
        <f>IF(ISNUMBER('Sektorski plasman'!B69)=FALSE,"",'Sektorski plasman'!B69)</f>
      </c>
      <c r="E68" s="281">
        <f>IF(ISNUMBER('Sektorski plasman'!C69)=FALSE,"",'Sektorski plasman'!C69)</f>
      </c>
      <c r="F68" s="282">
        <f>IF(ISNUMBER('Sektorski plasman'!A69)=FALSE,"",'Sektorski plasman'!A69)</f>
      </c>
    </row>
    <row r="69" spans="1:6" ht="12.75">
      <c r="A69" s="280">
        <f>IF(ISNUMBER(F69)=FALSE,"",10)</f>
      </c>
      <c r="B69" s="297">
        <f>IF(ISNONTEXT('Sektorski plasman'!D70)=TRUE,"",'Sektorski plasman'!D70)</f>
      </c>
      <c r="C69" s="298">
        <f>IF(ISNONTEXT('Sektorski plasman'!E70)=TRUE,"",'Sektorski plasman'!E70)</f>
      </c>
      <c r="D69" s="346">
        <f>IF(ISNUMBER('Sektorski plasman'!B70)=FALSE,"",'Sektorski plasman'!B70)</f>
      </c>
      <c r="E69" s="281">
        <f>IF(ISNUMBER('Sektorski plasman'!C70)=FALSE,"",'Sektorski plasman'!C70)</f>
      </c>
      <c r="F69" s="282">
        <f>IF(ISNUMBER('Sektorski plasman'!A70)=FALSE,"",'Sektorski plasman'!A70)</f>
      </c>
    </row>
    <row r="70" spans="1:6" ht="12.75">
      <c r="A70" s="280">
        <f>IF(ISNUMBER(F70)=FALSE,"",11)</f>
      </c>
      <c r="B70" s="297">
        <f>IF(ISNONTEXT('Sektorski plasman'!D71)=TRUE,"",'Sektorski plasman'!D71)</f>
      </c>
      <c r="C70" s="298">
        <f>IF(ISNONTEXT('Sektorski plasman'!E71)=TRUE,"",'Sektorski plasman'!E71)</f>
      </c>
      <c r="D70" s="346">
        <f>IF(ISNUMBER('Sektorski plasman'!B71)=FALSE,"",'Sektorski plasman'!B71)</f>
      </c>
      <c r="E70" s="281">
        <f>IF(ISNUMBER('Sektorski plasman'!C71)=FALSE,"",'Sektorski plasman'!C71)</f>
      </c>
      <c r="F70" s="282">
        <f>IF(ISNUMBER('Sektorski plasman'!A71)=FALSE,"",'Sektorski plasman'!A71)</f>
      </c>
    </row>
    <row r="71" spans="1:6" ht="12.75">
      <c r="A71" s="283">
        <f>IF(ISNUMBER(F71)=FALSE,"",12)</f>
      </c>
      <c r="B71" s="293">
        <f>IF(ISNONTEXT('Sektorski plasman'!D72)=TRUE,"",'Sektorski plasman'!D72)</f>
      </c>
      <c r="C71" s="294">
        <f>IF(ISNONTEXT('Sektorski plasman'!E72)=TRUE,"",'Sektorski plasman'!E72)</f>
      </c>
      <c r="D71" s="347">
        <f>IF(ISNUMBER('Sektorski plasman'!B72)=FALSE,"",'Sektorski plasman'!B72)</f>
      </c>
      <c r="E71" s="284">
        <f>IF(ISNUMBER('Sektorski plasman'!C72)=FALSE,"",'Sektorski plasman'!C72)</f>
      </c>
      <c r="F71" s="285">
        <f>IF(ISNUMBER('Sektorski plasman'!A72)=FALSE,"",'Sektorski plasman'!A72)</f>
      </c>
    </row>
    <row r="74" ht="15.75">
      <c r="A74" s="83"/>
    </row>
    <row r="75" spans="1:7" ht="12.75">
      <c r="A75" s="271" t="s">
        <v>185</v>
      </c>
      <c r="B75" s="272"/>
      <c r="C75" s="272"/>
      <c r="D75" s="273"/>
      <c r="E75" s="272"/>
      <c r="F75" s="274"/>
      <c r="G75" s="57"/>
    </row>
    <row r="76" spans="1:6" ht="12.75">
      <c r="A76" s="275" t="s">
        <v>178</v>
      </c>
      <c r="B76" s="276" t="s">
        <v>21</v>
      </c>
      <c r="C76" s="276" t="s">
        <v>20</v>
      </c>
      <c r="D76" s="277" t="s">
        <v>179</v>
      </c>
      <c r="E76" s="278" t="s">
        <v>180</v>
      </c>
      <c r="F76" s="279" t="s">
        <v>181</v>
      </c>
    </row>
    <row r="77" spans="1:6" ht="12.75">
      <c r="A77" s="286">
        <f>IF(ISNUMBER(F77)=FALSE,"",1)</f>
      </c>
      <c r="B77" s="295">
        <f>IF(ISNONTEXT('Sektorski plasman'!D78)=TRUE,"",'Sektorski plasman'!D78)</f>
      </c>
      <c r="C77" s="296">
        <f>IF(ISNONTEXT('Sektorski plasman'!E78)=TRUE,"",'Sektorski plasman'!E78)</f>
      </c>
      <c r="D77" s="345">
        <f>IF(ISNUMBER('Sektorski plasman'!B78)=FALSE,"",'Sektorski plasman'!B78)</f>
      </c>
      <c r="E77" s="287">
        <f>IF(ISNUMBER('Sektorski plasman'!C78)=FALSE,"",'Sektorski plasman'!C78)</f>
      </c>
      <c r="F77" s="288">
        <f>IF(ISNUMBER('Sektorski plasman'!A78)=FALSE,"",'Sektorski plasman'!A78)</f>
      </c>
    </row>
    <row r="78" spans="1:6" ht="12.75">
      <c r="A78" s="280">
        <f>IF(ISNUMBER(F78)=FALSE,"",2)</f>
      </c>
      <c r="B78" s="297">
        <f>IF(ISNONTEXT('Sektorski plasman'!D79)=TRUE,"",'Sektorski plasman'!D79)</f>
      </c>
      <c r="C78" s="298">
        <f>IF(ISNONTEXT('Sektorski plasman'!E79)=TRUE,"",'Sektorski plasman'!E79)</f>
      </c>
      <c r="D78" s="346">
        <f>IF(ISNUMBER('Sektorski plasman'!B79)=FALSE,"",'Sektorski plasman'!B79)</f>
      </c>
      <c r="E78" s="281">
        <f>IF(ISNUMBER('Sektorski plasman'!C79)=FALSE,"",'Sektorski plasman'!C79)</f>
      </c>
      <c r="F78" s="282">
        <f>IF(ISNUMBER('Sektorski plasman'!A79)=FALSE,"",'Sektorski plasman'!A79)</f>
      </c>
    </row>
    <row r="79" spans="1:6" ht="12.75">
      <c r="A79" s="280">
        <f>IF(ISNUMBER(F79)=FALSE,"",3)</f>
      </c>
      <c r="B79" s="297">
        <f>IF(ISNONTEXT('Sektorski plasman'!D80)=TRUE,"",'Sektorski plasman'!D80)</f>
      </c>
      <c r="C79" s="298">
        <f>IF(ISNONTEXT('Sektorski plasman'!E80)=TRUE,"",'Sektorski plasman'!E80)</f>
      </c>
      <c r="D79" s="346">
        <f>IF(ISNUMBER('Sektorski plasman'!B80)=FALSE,"",'Sektorski plasman'!B80)</f>
      </c>
      <c r="E79" s="281">
        <f>IF(ISNUMBER('Sektorski plasman'!C80)=FALSE,"",'Sektorski plasman'!C80)</f>
      </c>
      <c r="F79" s="282">
        <f>IF(ISNUMBER('Sektorski plasman'!A80)=FALSE,"",'Sektorski plasman'!A80)</f>
      </c>
    </row>
    <row r="80" spans="1:6" ht="12.75">
      <c r="A80" s="280">
        <f>IF(ISNUMBER(F80)=FALSE,"",4)</f>
      </c>
      <c r="B80" s="297">
        <f>IF(ISNONTEXT('Sektorski plasman'!D81)=TRUE,"",'Sektorski plasman'!D81)</f>
      </c>
      <c r="C80" s="298">
        <f>IF(ISNONTEXT('Sektorski plasman'!E81)=TRUE,"",'Sektorski plasman'!E81)</f>
      </c>
      <c r="D80" s="346">
        <f>IF(ISNUMBER('Sektorski plasman'!B81)=FALSE,"",'Sektorski plasman'!B81)</f>
      </c>
      <c r="E80" s="281">
        <f>IF(ISNUMBER('Sektorski plasman'!C81)=FALSE,"",'Sektorski plasman'!C81)</f>
      </c>
      <c r="F80" s="282">
        <f>IF(ISNUMBER('Sektorski plasman'!A81)=FALSE,"",'Sektorski plasman'!A81)</f>
      </c>
    </row>
    <row r="81" spans="1:6" ht="12.75">
      <c r="A81" s="280">
        <f>IF(ISNUMBER(F81)=FALSE,"",5)</f>
      </c>
      <c r="B81" s="297">
        <f>IF(ISNONTEXT('Sektorski plasman'!D82)=TRUE,"",'Sektorski plasman'!D82)</f>
      </c>
      <c r="C81" s="298">
        <f>IF(ISNONTEXT('Sektorski plasman'!E82)=TRUE,"",'Sektorski plasman'!E82)</f>
      </c>
      <c r="D81" s="346">
        <f>IF(ISNUMBER('Sektorski plasman'!B82)=FALSE,"",'Sektorski plasman'!B82)</f>
      </c>
      <c r="E81" s="281">
        <f>IF(ISNUMBER('Sektorski plasman'!C82)=FALSE,"",'Sektorski plasman'!C82)</f>
      </c>
      <c r="F81" s="282">
        <f>IF(ISNUMBER('Sektorski plasman'!A82)=FALSE,"",'Sektorski plasman'!A82)</f>
      </c>
    </row>
    <row r="82" spans="1:6" ht="12.75">
      <c r="A82" s="280">
        <f>IF(ISNUMBER(F82)=FALSE,"",6)</f>
      </c>
      <c r="B82" s="297">
        <f>IF(ISNONTEXT('Sektorski plasman'!D83)=TRUE,"",'Sektorski plasman'!D83)</f>
      </c>
      <c r="C82" s="298">
        <f>IF(ISNONTEXT('Sektorski plasman'!E83)=TRUE,"",'Sektorski plasman'!E83)</f>
      </c>
      <c r="D82" s="346">
        <f>IF(ISNUMBER('Sektorski plasman'!B83)=FALSE,"",'Sektorski plasman'!B83)</f>
      </c>
      <c r="E82" s="281">
        <f>IF(ISNUMBER('Sektorski plasman'!C83)=FALSE,"",'Sektorski plasman'!C83)</f>
      </c>
      <c r="F82" s="282">
        <f>IF(ISNUMBER('Sektorski plasman'!A83)=FALSE,"",'Sektorski plasman'!A83)</f>
      </c>
    </row>
    <row r="83" spans="1:6" ht="12.75">
      <c r="A83" s="280">
        <f>IF(ISNUMBER(F83)=FALSE,"",7)</f>
      </c>
      <c r="B83" s="297">
        <f>IF(ISNONTEXT('Sektorski plasman'!D84)=TRUE,"",'Sektorski plasman'!D84)</f>
      </c>
      <c r="C83" s="298">
        <f>IF(ISNONTEXT('Sektorski plasman'!E84)=TRUE,"",'Sektorski plasman'!E84)</f>
      </c>
      <c r="D83" s="346">
        <f>IF(ISNUMBER('Sektorski plasman'!B84)=FALSE,"",'Sektorski plasman'!B84)</f>
      </c>
      <c r="E83" s="281">
        <f>IF(ISNUMBER('Sektorski plasman'!C84)=FALSE,"",'Sektorski plasman'!C84)</f>
      </c>
      <c r="F83" s="282">
        <f>IF(ISNUMBER('Sektorski plasman'!A84)=FALSE,"",'Sektorski plasman'!A84)</f>
      </c>
    </row>
    <row r="84" spans="1:6" ht="12.75">
      <c r="A84" s="280">
        <f>IF(ISNUMBER(F84)=FALSE,"",8)</f>
      </c>
      <c r="B84" s="297">
        <f>IF(ISNONTEXT('Sektorski plasman'!D85)=TRUE,"",'Sektorski plasman'!D85)</f>
      </c>
      <c r="C84" s="298">
        <f>IF(ISNONTEXT('Sektorski plasman'!E85)=TRUE,"",'Sektorski plasman'!E85)</f>
      </c>
      <c r="D84" s="346">
        <f>IF(ISNUMBER('Sektorski plasman'!B85)=FALSE,"",'Sektorski plasman'!B85)</f>
      </c>
      <c r="E84" s="281">
        <f>IF(ISNUMBER('Sektorski plasman'!C85)=FALSE,"",'Sektorski plasman'!C85)</f>
      </c>
      <c r="F84" s="282">
        <f>IF(ISNUMBER('Sektorski plasman'!A85)=FALSE,"",'Sektorski plasman'!A85)</f>
      </c>
    </row>
    <row r="85" spans="1:6" ht="12.75">
      <c r="A85" s="280">
        <f>IF(ISNUMBER(F85)=FALSE,"",9)</f>
      </c>
      <c r="B85" s="297">
        <f>IF(ISNONTEXT('Sektorski plasman'!D86)=TRUE,"",'Sektorski plasman'!D86)</f>
      </c>
      <c r="C85" s="298">
        <f>IF(ISNONTEXT('Sektorski plasman'!E86)=TRUE,"",'Sektorski plasman'!E86)</f>
      </c>
      <c r="D85" s="346">
        <f>IF(ISNUMBER('Sektorski plasman'!B86)=FALSE,"",'Sektorski plasman'!B86)</f>
      </c>
      <c r="E85" s="281">
        <f>IF(ISNUMBER('Sektorski plasman'!C86)=FALSE,"",'Sektorski plasman'!C86)</f>
      </c>
      <c r="F85" s="282">
        <f>IF(ISNUMBER('Sektorski plasman'!A86)=FALSE,"",'Sektorski plasman'!A86)</f>
      </c>
    </row>
    <row r="86" spans="1:6" ht="12.75">
      <c r="A86" s="280">
        <f>IF(ISNUMBER(F86)=FALSE,"",10)</f>
      </c>
      <c r="B86" s="297">
        <f>IF(ISNONTEXT('Sektorski plasman'!D87)=TRUE,"",'Sektorski plasman'!D87)</f>
      </c>
      <c r="C86" s="298">
        <f>IF(ISNONTEXT('Sektorski plasman'!E87)=TRUE,"",'Sektorski plasman'!E87)</f>
      </c>
      <c r="D86" s="346">
        <f>IF(ISNUMBER('Sektorski plasman'!B87)=FALSE,"",'Sektorski plasman'!B87)</f>
      </c>
      <c r="E86" s="281">
        <f>IF(ISNUMBER('Sektorski plasman'!C87)=FALSE,"",'Sektorski plasman'!C87)</f>
      </c>
      <c r="F86" s="282">
        <f>IF(ISNUMBER('Sektorski plasman'!A87)=FALSE,"",'Sektorski plasman'!A87)</f>
      </c>
    </row>
    <row r="87" spans="1:6" ht="12.75">
      <c r="A87" s="280">
        <f>IF(ISNUMBER(F87)=FALSE,"",11)</f>
      </c>
      <c r="B87" s="297">
        <f>IF(ISNONTEXT('Sektorski plasman'!D88)=TRUE,"",'Sektorski plasman'!D88)</f>
      </c>
      <c r="C87" s="298">
        <f>IF(ISNONTEXT('Sektorski plasman'!E88)=TRUE,"",'Sektorski plasman'!E88)</f>
      </c>
      <c r="D87" s="346">
        <f>IF(ISNUMBER('Sektorski plasman'!B88)=FALSE,"",'Sektorski plasman'!B88)</f>
      </c>
      <c r="E87" s="281">
        <f>IF(ISNUMBER('Sektorski plasman'!C88)=FALSE,"",'Sektorski plasman'!C88)</f>
      </c>
      <c r="F87" s="282">
        <f>IF(ISNUMBER('Sektorski plasman'!A88)=FALSE,"",'Sektorski plasman'!A88)</f>
      </c>
    </row>
    <row r="88" spans="1:6" ht="12.75">
      <c r="A88" s="283">
        <f>IF(ISNUMBER(F88)=FALSE,"",12)</f>
      </c>
      <c r="B88" s="293">
        <f>IF(ISNONTEXT('Sektorski plasman'!D89)=TRUE,"",'Sektorski plasman'!D89)</f>
      </c>
      <c r="C88" s="294">
        <f>IF(ISNONTEXT('Sektorski plasman'!E89)=TRUE,"",'Sektorski plasman'!E89)</f>
      </c>
      <c r="D88" s="347">
        <f>IF(ISNUMBER('Sektorski plasman'!B89)=FALSE,"",'Sektorski plasman'!B89)</f>
      </c>
      <c r="E88" s="284">
        <f>IF(ISNUMBER('Sektorski plasman'!C89)=FALSE,"",'Sektorski plasman'!C89)</f>
      </c>
      <c r="F88" s="285">
        <f>IF(ISNUMBER('Sektorski plasman'!A89)=FALSE,"",'Sektorski plasman'!A89)</f>
      </c>
    </row>
    <row r="110" spans="1:6" ht="12.75">
      <c r="A110" s="134"/>
      <c r="B110" s="134"/>
      <c r="C110" s="134"/>
      <c r="D110" s="134"/>
      <c r="E110" s="134"/>
      <c r="F110" s="134"/>
    </row>
  </sheetData>
  <sheetProtection password="C7E2" sheet="1" objects="1" scenarios="1"/>
  <printOptions horizontalCentered="1"/>
  <pageMargins left="0.984251968503937" right="0.984251968503937" top="0.7874015748031497" bottom="0.9448818897637796" header="0.5118110236220472" footer="0.15748031496062992"/>
  <pageSetup horizontalDpi="300" verticalDpi="300" orientation="portrait" paperSize="9" r:id="rId4"/>
  <headerFooter alignWithMargins="0">
    <oddFooter>&amp;L&amp;"Arial,Kurziv"&amp;YSektorski plasman&amp;C&amp;"Arial,Kurziv"&amp;11&amp;XProgram za izračun rezultata i provođenje natjecanja&amp;R&amp;"Arial,Kurziv"&amp;YStranica &amp;P</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Sheet23">
    <tabColor indexed="51"/>
  </sheetPr>
  <dimension ref="A1:M64"/>
  <sheetViews>
    <sheetView showRowColHeaders="0" zoomScalePageLayoutView="0" workbookViewId="0" topLeftCell="A1">
      <selection activeCell="K10" sqref="K10"/>
    </sheetView>
  </sheetViews>
  <sheetFormatPr defaultColWidth="9.140625" defaultRowHeight="12.75"/>
  <cols>
    <col min="1" max="1" width="5.28125" style="7" customWidth="1"/>
    <col min="2" max="2" width="27.421875" style="6" customWidth="1"/>
    <col min="3" max="4" width="11.28125" style="7" customWidth="1"/>
    <col min="5" max="5" width="12.8515625" style="7" customWidth="1"/>
    <col min="6" max="6" width="13.7109375" style="7" customWidth="1"/>
    <col min="7" max="7" width="12.8515625" style="7" hidden="1" customWidth="1"/>
    <col min="8" max="8" width="15.7109375" style="7" hidden="1" customWidth="1"/>
    <col min="9" max="13" width="9.140625" style="7" customWidth="1"/>
    <col min="14" max="16384" width="9.140625" style="6" customWidth="1"/>
  </cols>
  <sheetData>
    <row r="1" spans="1:12" s="15" customFormat="1" ht="12.75">
      <c r="A1" s="250" t="s">
        <v>172</v>
      </c>
      <c r="B1" s="251"/>
      <c r="C1" s="252">
        <f>IF(ISNONTEXT('Organizacija natjecanja'!$H$2)=TRUE,"",'Organizacija natjecanja'!$H$2)</f>
      </c>
      <c r="D1" s="253"/>
      <c r="E1" s="253"/>
      <c r="F1" s="255"/>
      <c r="J1" s="56"/>
      <c r="L1" s="7"/>
    </row>
    <row r="2" spans="1:13" s="17" customFormat="1" ht="12.75">
      <c r="A2" s="256" t="s">
        <v>173</v>
      </c>
      <c r="B2" s="257"/>
      <c r="C2" s="258">
        <f>IF(ISNONTEXT('Organizacija natjecanja'!$H$5)=TRUE,"",'Organizacija natjecanja'!$H$5)</f>
      </c>
      <c r="D2" s="259"/>
      <c r="E2" s="259"/>
      <c r="F2" s="260"/>
      <c r="G2" s="7"/>
      <c r="H2" s="7"/>
      <c r="I2" s="7"/>
      <c r="J2" s="7"/>
      <c r="K2" s="7"/>
      <c r="L2" s="7"/>
      <c r="M2" s="7"/>
    </row>
    <row r="3" spans="1:6" ht="12.75">
      <c r="A3" s="256" t="s">
        <v>174</v>
      </c>
      <c r="B3" s="257"/>
      <c r="C3" s="261">
        <f>IF(ISNONTEXT('Organizacija natjecanja'!$H$7)=TRUE,"",'Organizacija natjecanja'!$H$7)</f>
      </c>
      <c r="D3" s="262"/>
      <c r="E3" s="262"/>
      <c r="F3" s="264"/>
    </row>
    <row r="4" spans="1:6" ht="12.75">
      <c r="A4" s="256" t="s">
        <v>175</v>
      </c>
      <c r="B4" s="257"/>
      <c r="C4" s="261">
        <f>IF(ISNONTEXT('Organizacija natjecanja'!$H$13)=TRUE,"",'Organizacija natjecanja'!$H$13)</f>
      </c>
      <c r="D4" s="262"/>
      <c r="E4" s="262"/>
      <c r="F4" s="264"/>
    </row>
    <row r="5" spans="1:6" ht="12.75">
      <c r="A5" s="256" t="s">
        <v>176</v>
      </c>
      <c r="B5" s="257"/>
      <c r="C5" s="261">
        <f>IF(ISNONTEXT('Organizacija natjecanja'!$H$4)=TRUE,"",'Organizacija natjecanja'!$H$4)</f>
      </c>
      <c r="D5" s="262"/>
      <c r="E5" s="262"/>
      <c r="F5" s="264"/>
    </row>
    <row r="6" spans="1:6" ht="12.75">
      <c r="A6" s="256"/>
      <c r="B6" s="257"/>
      <c r="C6" s="261"/>
      <c r="D6" s="262"/>
      <c r="E6" s="262"/>
      <c r="F6" s="264"/>
    </row>
    <row r="7" spans="1:12" ht="14.25" customHeight="1">
      <c r="A7" s="265" t="s">
        <v>129</v>
      </c>
      <c r="B7" s="266"/>
      <c r="C7" s="267">
        <f>IF(ISBLANK('Organizacija natjecanja'!$H$9)=TRUE,"",'Organizacija natjecanja'!$H$9)</f>
      </c>
      <c r="D7" s="268"/>
      <c r="E7" s="268"/>
      <c r="F7" s="270"/>
      <c r="L7" s="15"/>
    </row>
    <row r="8" spans="1:12" ht="12.75">
      <c r="A8" s="322"/>
      <c r="B8" s="323"/>
      <c r="C8" s="324"/>
      <c r="D8" s="325"/>
      <c r="E8" s="325"/>
      <c r="F8" s="300"/>
      <c r="L8" s="15"/>
    </row>
    <row r="9" spans="1:8" ht="25.5">
      <c r="A9" s="303" t="s">
        <v>186</v>
      </c>
      <c r="B9" s="304" t="s">
        <v>187</v>
      </c>
      <c r="C9" s="305" t="s">
        <v>92</v>
      </c>
      <c r="D9" s="306" t="s">
        <v>188</v>
      </c>
      <c r="E9" s="306" t="s">
        <v>189</v>
      </c>
      <c r="F9" s="307" t="s">
        <v>181</v>
      </c>
      <c r="H9" s="99"/>
    </row>
    <row r="10" spans="1:13" s="8" customFormat="1" ht="12.75">
      <c r="A10" s="286">
        <f>IF(ISNUMBER(C10)=FALSE,"",1)</f>
      </c>
      <c r="B10" s="295">
        <f>IF(ISBLANK('Ekipni plasman'!B6)=TRUE,"",'Ekipni plasman'!B6)</f>
      </c>
      <c r="C10" s="326">
        <f>IF(ISNUMBER('Ekipni plasman'!C6)=FALSE,"",'Ekipni plasman'!C6)</f>
      </c>
      <c r="D10" s="348">
        <f>IF(ISNUMBER('Ekipni plasman'!D6)=FALSE,"",'Ekipni plasman'!D6)</f>
      </c>
      <c r="E10" s="348">
        <f>IF(ISNUMBER('Ekipni plasman'!E6)=FALSE,"",'Ekipni plasman'!E6)</f>
      </c>
      <c r="F10" s="288">
        <f>IF(ISNUMBER('Ekipni plasman'!F6)=FALSE,"",'Ekipni plasman'!F6)</f>
      </c>
      <c r="G10" s="70">
        <f aca="true" t="shared" si="0" ref="G10:G21">IF(ISNUMBER(C10)=FALSE,"",RANK(H10,$H$10:$H$21,1))</f>
      </c>
      <c r="H10" s="55">
        <f aca="true" t="shared" si="1" ref="H10:H21">IF(ISNUMBER(C10)=FALSE,"",C10-D10/100000-E10/1000000000)</f>
      </c>
      <c r="I10" s="55"/>
      <c r="K10" s="55"/>
      <c r="L10" s="55"/>
      <c r="M10" s="55"/>
    </row>
    <row r="11" spans="1:13" s="8" customFormat="1" ht="12.75">
      <c r="A11" s="280">
        <f>IF(ISNUMBER(C11)=FALSE,"",2)</f>
      </c>
      <c r="B11" s="297">
        <f>IF(ISBLANK('Ekipni plasman'!B7)=TRUE,"",'Ekipni plasman'!B7)</f>
      </c>
      <c r="C11" s="327">
        <f>IF(ISNUMBER('Ekipni plasman'!C7)=FALSE,"",'Ekipni plasman'!C7)</f>
      </c>
      <c r="D11" s="349">
        <f>IF(ISNUMBER('Ekipni plasman'!D7)=FALSE,"",'Ekipni plasman'!D7)</f>
      </c>
      <c r="E11" s="349">
        <f>IF(ISNUMBER('Ekipni plasman'!E7)=FALSE,"",'Ekipni plasman'!E7)</f>
      </c>
      <c r="F11" s="282">
        <f>IF(ISNUMBER('Ekipni plasman'!F7)=FALSE,"",'Ekipni plasman'!F7)</f>
      </c>
      <c r="G11" s="70">
        <f t="shared" si="0"/>
      </c>
      <c r="H11" s="55">
        <f t="shared" si="1"/>
      </c>
      <c r="I11" s="55"/>
      <c r="K11" s="55"/>
      <c r="L11" s="55"/>
      <c r="M11" s="55"/>
    </row>
    <row r="12" spans="1:13" s="8" customFormat="1" ht="12.75">
      <c r="A12" s="280">
        <f>IF(ISNUMBER(C12)=FALSE,"",3)</f>
      </c>
      <c r="B12" s="297">
        <f>IF(ISBLANK('Ekipni plasman'!B8)=TRUE,"",'Ekipni plasman'!B8)</f>
      </c>
      <c r="C12" s="327">
        <f>IF(ISNUMBER('Ekipni plasman'!C8)=FALSE,"",'Ekipni plasman'!C8)</f>
      </c>
      <c r="D12" s="349">
        <f>IF(ISNUMBER('Ekipni plasman'!D8)=FALSE,"",'Ekipni plasman'!D8)</f>
      </c>
      <c r="E12" s="349">
        <f>IF(ISNUMBER('Ekipni plasman'!E8)=FALSE,"",'Ekipni plasman'!E8)</f>
      </c>
      <c r="F12" s="282">
        <f>IF(ISNUMBER('Ekipni plasman'!F8)=FALSE,"",'Ekipni plasman'!F8)</f>
      </c>
      <c r="G12" s="70">
        <f t="shared" si="0"/>
      </c>
      <c r="H12" s="55">
        <f t="shared" si="1"/>
      </c>
      <c r="I12" s="55"/>
      <c r="K12" s="55"/>
      <c r="L12" s="55"/>
      <c r="M12" s="55"/>
    </row>
    <row r="13" spans="1:13" s="8" customFormat="1" ht="12.75">
      <c r="A13" s="280">
        <f>IF(ISNUMBER(C13)=FALSE,"",4)</f>
      </c>
      <c r="B13" s="297">
        <f>IF(ISBLANK('Ekipni plasman'!B9)=TRUE,"",'Ekipni plasman'!B9)</f>
      </c>
      <c r="C13" s="327">
        <f>IF(ISNUMBER('Ekipni plasman'!C9)=FALSE,"",'Ekipni plasman'!C9)</f>
      </c>
      <c r="D13" s="349">
        <f>IF(ISNUMBER('Ekipni plasman'!D9)=FALSE,"",'Ekipni plasman'!D9)</f>
      </c>
      <c r="E13" s="349">
        <f>IF(ISNUMBER('Ekipni plasman'!E9)=FALSE,"",'Ekipni plasman'!E9)</f>
      </c>
      <c r="F13" s="282">
        <f>IF(ISNUMBER('Ekipni plasman'!F9)=FALSE,"",'Ekipni plasman'!F9)</f>
      </c>
      <c r="G13" s="70">
        <f t="shared" si="0"/>
      </c>
      <c r="H13" s="55">
        <f t="shared" si="1"/>
      </c>
      <c r="I13" s="55"/>
      <c r="K13" s="55"/>
      <c r="L13" s="55"/>
      <c r="M13" s="55"/>
    </row>
    <row r="14" spans="1:13" s="8" customFormat="1" ht="12.75">
      <c r="A14" s="280">
        <f>IF(ISNUMBER(C14)=FALSE,"",5)</f>
      </c>
      <c r="B14" s="297">
        <f>IF(ISBLANK('Ekipni plasman'!B10)=TRUE,"",'Ekipni plasman'!B10)</f>
      </c>
      <c r="C14" s="327">
        <f>IF(ISNUMBER('Ekipni plasman'!C10)=FALSE,"",'Ekipni plasman'!C10)</f>
      </c>
      <c r="D14" s="349">
        <f>IF(ISNUMBER('Ekipni plasman'!D10)=FALSE,"",'Ekipni plasman'!D10)</f>
      </c>
      <c r="E14" s="349">
        <f>IF(ISNUMBER('Ekipni plasman'!E10)=FALSE,"",'Ekipni plasman'!E10)</f>
      </c>
      <c r="F14" s="282">
        <f>IF(ISNUMBER('Ekipni plasman'!F10)=FALSE,"",'Ekipni plasman'!F10)</f>
      </c>
      <c r="G14" s="70">
        <f t="shared" si="0"/>
      </c>
      <c r="H14" s="55">
        <f t="shared" si="1"/>
      </c>
      <c r="I14" s="55"/>
      <c r="K14" s="55"/>
      <c r="L14" s="55"/>
      <c r="M14" s="55"/>
    </row>
    <row r="15" spans="1:13" s="8" customFormat="1" ht="12.75">
      <c r="A15" s="280">
        <f>IF(ISNUMBER(C15)=FALSE,"",6)</f>
      </c>
      <c r="B15" s="297">
        <f>IF(ISBLANK('Ekipni plasman'!B11)=TRUE,"",'Ekipni plasman'!B11)</f>
      </c>
      <c r="C15" s="327">
        <f>IF(ISNUMBER('Ekipni plasman'!C11)=FALSE,"",'Ekipni plasman'!C11)</f>
      </c>
      <c r="D15" s="349">
        <f>IF(ISNUMBER('Ekipni plasman'!D11)=FALSE,"",'Ekipni plasman'!D11)</f>
      </c>
      <c r="E15" s="349">
        <f>IF(ISNUMBER('Ekipni plasman'!E11)=FALSE,"",'Ekipni plasman'!E11)</f>
      </c>
      <c r="F15" s="282">
        <f>IF(ISNUMBER('Ekipni plasman'!F11)=FALSE,"",'Ekipni plasman'!F11)</f>
      </c>
      <c r="G15" s="70">
        <f t="shared" si="0"/>
      </c>
      <c r="H15" s="55">
        <f t="shared" si="1"/>
      </c>
      <c r="I15" s="55"/>
      <c r="K15" s="55"/>
      <c r="L15" s="55"/>
      <c r="M15" s="55"/>
    </row>
    <row r="16" spans="1:13" s="8" customFormat="1" ht="12.75">
      <c r="A16" s="280">
        <f>IF(ISNUMBER(C16)=FALSE,"",7)</f>
      </c>
      <c r="B16" s="297">
        <f>IF(ISBLANK('Ekipni plasman'!B12)=TRUE,"",'Ekipni plasman'!B12)</f>
      </c>
      <c r="C16" s="327">
        <f>IF(ISNUMBER('Ekipni plasman'!C12)=FALSE,"",'Ekipni plasman'!C12)</f>
      </c>
      <c r="D16" s="349">
        <f>IF(ISNUMBER('Ekipni plasman'!D12)=FALSE,"",'Ekipni plasman'!D12)</f>
      </c>
      <c r="E16" s="349">
        <f>IF(ISNUMBER('Ekipni plasman'!E12)=FALSE,"",'Ekipni plasman'!E12)</f>
      </c>
      <c r="F16" s="282">
        <f>IF(ISNUMBER('Ekipni plasman'!F12)=FALSE,"",'Ekipni plasman'!F12)</f>
      </c>
      <c r="G16" s="70">
        <f t="shared" si="0"/>
      </c>
      <c r="H16" s="55">
        <f t="shared" si="1"/>
      </c>
      <c r="I16" s="55"/>
      <c r="K16" s="55"/>
      <c r="L16" s="55"/>
      <c r="M16" s="55"/>
    </row>
    <row r="17" spans="1:13" s="8" customFormat="1" ht="12.75">
      <c r="A17" s="280">
        <f>IF(ISNUMBER(C17)=FALSE,"",8)</f>
      </c>
      <c r="B17" s="297">
        <f>IF(ISBLANK('Ekipni plasman'!B13)=TRUE,"",'Ekipni plasman'!B13)</f>
      </c>
      <c r="C17" s="327">
        <f>IF(ISNUMBER('Ekipni plasman'!C13)=FALSE,"",'Ekipni plasman'!C13)</f>
      </c>
      <c r="D17" s="349">
        <f>IF(ISNUMBER('Ekipni plasman'!D13)=FALSE,"",'Ekipni plasman'!D13)</f>
      </c>
      <c r="E17" s="349">
        <f>IF(ISNUMBER('Ekipni plasman'!E13)=FALSE,"",'Ekipni plasman'!E13)</f>
      </c>
      <c r="F17" s="282">
        <f>IF(ISNUMBER('Ekipni plasman'!F13)=FALSE,"",'Ekipni plasman'!F13)</f>
      </c>
      <c r="G17" s="70">
        <f t="shared" si="0"/>
      </c>
      <c r="H17" s="55">
        <f t="shared" si="1"/>
      </c>
      <c r="I17" s="55"/>
      <c r="K17" s="55"/>
      <c r="L17" s="55"/>
      <c r="M17" s="55"/>
    </row>
    <row r="18" spans="1:13" s="8" customFormat="1" ht="12.75">
      <c r="A18" s="280">
        <f>IF(ISNUMBER(C18)=FALSE,"",9)</f>
      </c>
      <c r="B18" s="297">
        <f>IF(ISBLANK('Ekipni plasman'!B14)=TRUE,"",'Ekipni plasman'!B14)</f>
      </c>
      <c r="C18" s="327">
        <f>IF(ISNUMBER('Ekipni plasman'!C14)=FALSE,"",'Ekipni plasman'!C14)</f>
      </c>
      <c r="D18" s="349">
        <f>IF(ISNUMBER('Ekipni plasman'!D14)=FALSE,"",'Ekipni plasman'!D14)</f>
      </c>
      <c r="E18" s="349">
        <f>IF(ISNUMBER('Ekipni plasman'!E14)=FALSE,"",'Ekipni plasman'!E14)</f>
      </c>
      <c r="F18" s="282">
        <f>IF(ISNUMBER('Ekipni plasman'!F14)=FALSE,"",'Ekipni plasman'!F14)</f>
      </c>
      <c r="G18" s="70">
        <f t="shared" si="0"/>
      </c>
      <c r="H18" s="55">
        <f t="shared" si="1"/>
      </c>
      <c r="I18" s="55"/>
      <c r="K18" s="55"/>
      <c r="L18" s="55"/>
      <c r="M18" s="55"/>
    </row>
    <row r="19" spans="1:13" s="8" customFormat="1" ht="12.75">
      <c r="A19" s="280">
        <f>IF(ISNUMBER(C19)=FALSE,"",10)</f>
      </c>
      <c r="B19" s="297">
        <f>IF(ISBLANK('Ekipni plasman'!B15)=TRUE,"",'Ekipni plasman'!B15)</f>
      </c>
      <c r="C19" s="327">
        <f>IF(ISNUMBER('Ekipni plasman'!C15)=FALSE,"",'Ekipni plasman'!C15)</f>
      </c>
      <c r="D19" s="349">
        <f>IF(ISNUMBER('Ekipni plasman'!D15)=FALSE,"",'Ekipni plasman'!D15)</f>
      </c>
      <c r="E19" s="349">
        <f>IF(ISNUMBER('Ekipni plasman'!E15)=FALSE,"",'Ekipni plasman'!E15)</f>
      </c>
      <c r="F19" s="282">
        <f>IF(ISNUMBER('Ekipni plasman'!F15)=FALSE,"",'Ekipni plasman'!F15)</f>
      </c>
      <c r="G19" s="70">
        <f t="shared" si="0"/>
      </c>
      <c r="H19" s="55">
        <f t="shared" si="1"/>
      </c>
      <c r="I19" s="55"/>
      <c r="K19" s="55"/>
      <c r="L19" s="55"/>
      <c r="M19" s="55"/>
    </row>
    <row r="20" spans="1:13" s="8" customFormat="1" ht="12.75">
      <c r="A20" s="280">
        <f>IF(ISNUMBER(C20)=FALSE,"",11)</f>
      </c>
      <c r="B20" s="297">
        <f>IF(ISBLANK('Ekipni plasman'!B16)=TRUE,"",'Ekipni plasman'!B16)</f>
      </c>
      <c r="C20" s="327">
        <f>IF(ISNUMBER('Ekipni plasman'!C16)=FALSE,"",'Ekipni plasman'!C16)</f>
      </c>
      <c r="D20" s="349">
        <f>IF(ISNUMBER('Ekipni plasman'!D16)=FALSE,"",'Ekipni plasman'!D16)</f>
      </c>
      <c r="E20" s="349">
        <f>IF(ISNUMBER('Ekipni plasman'!E16)=FALSE,"",'Ekipni plasman'!E16)</f>
      </c>
      <c r="F20" s="282">
        <f>IF(ISNUMBER('Ekipni plasman'!F16)=FALSE,"",'Ekipni plasman'!F16)</f>
      </c>
      <c r="G20" s="70">
        <f t="shared" si="0"/>
      </c>
      <c r="H20" s="55">
        <f t="shared" si="1"/>
      </c>
      <c r="I20" s="55"/>
      <c r="K20" s="55"/>
      <c r="L20" s="55"/>
      <c r="M20" s="55"/>
    </row>
    <row r="21" spans="1:13" s="8" customFormat="1" ht="12.75">
      <c r="A21" s="283">
        <f>IF(ISNUMBER(C21)=FALSE,"",12)</f>
      </c>
      <c r="B21" s="293">
        <f>IF(ISBLANK('Ekipni plasman'!B17)=TRUE,"",'Ekipni plasman'!B17)</f>
      </c>
      <c r="C21" s="328">
        <f>IF(ISNUMBER('Ekipni plasman'!C17)=FALSE,"",'Ekipni plasman'!C17)</f>
      </c>
      <c r="D21" s="350">
        <f>IF(ISNUMBER('Ekipni plasman'!D17)=FALSE,"",'Ekipni plasman'!D17)</f>
      </c>
      <c r="E21" s="350">
        <f>IF(ISNUMBER('Ekipni plasman'!E17)=FALSE,"",'Ekipni plasman'!E17)</f>
      </c>
      <c r="F21" s="285">
        <f>IF(ISNUMBER('Ekipni plasman'!F17)=FALSE,"",'Ekipni plasman'!F17)</f>
      </c>
      <c r="G21" s="70">
        <f t="shared" si="0"/>
      </c>
      <c r="H21" s="55">
        <f t="shared" si="1"/>
      </c>
      <c r="I21" s="55"/>
      <c r="K21" s="55"/>
      <c r="L21" s="55"/>
      <c r="M21" s="55"/>
    </row>
    <row r="22" spans="1:13" s="8" customFormat="1" ht="12.75">
      <c r="A22" s="55"/>
      <c r="C22" s="55"/>
      <c r="D22" s="55"/>
      <c r="E22" s="55"/>
      <c r="F22" s="55"/>
      <c r="G22" s="55"/>
      <c r="H22" s="55"/>
      <c r="I22" s="55"/>
      <c r="J22" s="55"/>
      <c r="K22" s="55"/>
      <c r="L22" s="55"/>
      <c r="M22" s="55"/>
    </row>
    <row r="23" spans="1:13" s="8" customFormat="1" ht="12.75">
      <c r="A23" s="55"/>
      <c r="C23" s="55"/>
      <c r="D23" s="55"/>
      <c r="E23" s="55"/>
      <c r="F23" s="55"/>
      <c r="G23" s="55"/>
      <c r="H23" s="55"/>
      <c r="I23" s="55"/>
      <c r="J23" s="55"/>
      <c r="K23" s="55"/>
      <c r="L23" s="55"/>
      <c r="M23" s="55"/>
    </row>
    <row r="24" spans="1:13" s="8" customFormat="1" ht="12.75">
      <c r="A24" s="55"/>
      <c r="C24" s="55"/>
      <c r="D24" s="55"/>
      <c r="E24" s="55"/>
      <c r="F24" s="55"/>
      <c r="G24" s="55"/>
      <c r="H24" s="55"/>
      <c r="I24" s="55"/>
      <c r="J24" s="55"/>
      <c r="K24" s="55"/>
      <c r="L24" s="55"/>
      <c r="M24" s="55"/>
    </row>
    <row r="25" spans="1:13" s="8" customFormat="1" ht="12.75">
      <c r="A25" s="55"/>
      <c r="C25" s="55"/>
      <c r="D25" s="55"/>
      <c r="E25" s="55"/>
      <c r="F25" s="55"/>
      <c r="G25" s="55"/>
      <c r="H25" s="55"/>
      <c r="I25" s="55"/>
      <c r="J25" s="55"/>
      <c r="K25" s="55"/>
      <c r="L25" s="55"/>
      <c r="M25" s="55"/>
    </row>
    <row r="26" spans="1:13" s="8" customFormat="1" ht="12.75">
      <c r="A26" s="55"/>
      <c r="C26" s="55"/>
      <c r="D26" s="55"/>
      <c r="E26" s="55"/>
      <c r="F26" s="55"/>
      <c r="G26" s="55"/>
      <c r="H26" s="55"/>
      <c r="I26" s="55"/>
      <c r="J26" s="55"/>
      <c r="K26" s="55"/>
      <c r="L26" s="55"/>
      <c r="M26" s="55"/>
    </row>
    <row r="27" spans="1:13" s="8" customFormat="1" ht="12.75">
      <c r="A27" s="55"/>
      <c r="C27" s="55"/>
      <c r="D27" s="55"/>
      <c r="E27" s="55"/>
      <c r="F27" s="55"/>
      <c r="G27" s="55"/>
      <c r="H27" s="55"/>
      <c r="I27" s="55"/>
      <c r="J27" s="55"/>
      <c r="K27" s="55"/>
      <c r="L27" s="55"/>
      <c r="M27" s="55"/>
    </row>
    <row r="28" spans="1:7" s="8" customFormat="1" ht="12.75">
      <c r="A28" s="55"/>
      <c r="C28" s="55"/>
      <c r="D28" s="55"/>
      <c r="E28" s="55"/>
      <c r="F28" s="55"/>
      <c r="G28" s="55"/>
    </row>
    <row r="29" spans="1:7" s="8" customFormat="1" ht="12.75">
      <c r="A29" s="55"/>
      <c r="C29" s="55"/>
      <c r="D29" s="55"/>
      <c r="E29" s="55"/>
      <c r="F29" s="55"/>
      <c r="G29" s="55"/>
    </row>
    <row r="30" spans="1:7" s="8" customFormat="1" ht="12.75">
      <c r="A30" s="55"/>
      <c r="C30" s="55"/>
      <c r="D30" s="55"/>
      <c r="E30" s="55"/>
      <c r="F30" s="55"/>
      <c r="G30" s="55"/>
    </row>
    <row r="31" spans="1:7" s="8" customFormat="1" ht="12.75">
      <c r="A31" s="55"/>
      <c r="C31" s="55"/>
      <c r="D31" s="55"/>
      <c r="E31" s="55"/>
      <c r="F31" s="55"/>
      <c r="G31" s="55"/>
    </row>
    <row r="32" spans="1:7" s="8" customFormat="1" ht="12.75">
      <c r="A32" s="55"/>
      <c r="C32" s="55"/>
      <c r="D32" s="55"/>
      <c r="E32" s="55"/>
      <c r="F32" s="55"/>
      <c r="G32" s="55"/>
    </row>
    <row r="33" spans="1:7" s="8" customFormat="1" ht="12.75">
      <c r="A33" s="55"/>
      <c r="C33" s="55"/>
      <c r="D33" s="55"/>
      <c r="E33" s="55"/>
      <c r="F33" s="55"/>
      <c r="G33" s="55"/>
    </row>
    <row r="34" spans="1:7" s="8" customFormat="1" ht="12.75">
      <c r="A34" s="55"/>
      <c r="C34" s="55"/>
      <c r="D34" s="55"/>
      <c r="E34" s="55"/>
      <c r="F34" s="55"/>
      <c r="G34" s="55"/>
    </row>
    <row r="35" spans="1:7" s="8" customFormat="1" ht="12.75">
      <c r="A35" s="55"/>
      <c r="C35" s="55"/>
      <c r="D35" s="55"/>
      <c r="E35" s="55"/>
      <c r="F35" s="55"/>
      <c r="G35" s="55"/>
    </row>
    <row r="36" spans="1:7" s="8" customFormat="1" ht="12.75">
      <c r="A36" s="55"/>
      <c r="C36" s="55"/>
      <c r="D36" s="55"/>
      <c r="E36" s="55"/>
      <c r="F36" s="55"/>
      <c r="G36" s="55"/>
    </row>
    <row r="37" spans="1:7" s="8" customFormat="1" ht="12.75">
      <c r="A37" s="55"/>
      <c r="C37" s="55"/>
      <c r="D37" s="55"/>
      <c r="E37" s="55"/>
      <c r="F37" s="55"/>
      <c r="G37" s="55"/>
    </row>
    <row r="38" spans="1:7" s="8" customFormat="1" ht="12.75">
      <c r="A38" s="55"/>
      <c r="C38" s="55"/>
      <c r="D38" s="55"/>
      <c r="E38" s="55"/>
      <c r="F38" s="55"/>
      <c r="G38" s="55"/>
    </row>
    <row r="39" spans="1:7" s="8" customFormat="1" ht="12.75">
      <c r="A39" s="55"/>
      <c r="C39" s="55"/>
      <c r="D39" s="55"/>
      <c r="E39" s="55"/>
      <c r="F39" s="55"/>
      <c r="G39" s="55"/>
    </row>
    <row r="40" spans="1:7" s="8" customFormat="1" ht="12.75">
      <c r="A40" s="55"/>
      <c r="C40" s="55"/>
      <c r="D40" s="55"/>
      <c r="E40" s="55"/>
      <c r="F40" s="55"/>
      <c r="G40" s="55"/>
    </row>
    <row r="41" spans="1:7" s="8" customFormat="1" ht="12.75">
      <c r="A41" s="55"/>
      <c r="C41" s="55"/>
      <c r="D41" s="55"/>
      <c r="E41" s="55"/>
      <c r="F41" s="55"/>
      <c r="G41" s="55"/>
    </row>
    <row r="42" spans="1:7" s="8" customFormat="1" ht="12.75">
      <c r="A42" s="55"/>
      <c r="C42" s="55"/>
      <c r="D42" s="55"/>
      <c r="E42" s="55"/>
      <c r="F42" s="55"/>
      <c r="G42" s="55"/>
    </row>
    <row r="43" spans="1:7" s="8" customFormat="1" ht="12.75">
      <c r="A43" s="55"/>
      <c r="C43" s="55"/>
      <c r="D43" s="55"/>
      <c r="E43" s="55"/>
      <c r="F43" s="55"/>
      <c r="G43" s="55"/>
    </row>
    <row r="44" spans="1:7" s="8" customFormat="1" ht="12.75">
      <c r="A44" s="55"/>
      <c r="C44" s="55"/>
      <c r="D44" s="55"/>
      <c r="E44" s="55"/>
      <c r="F44" s="55"/>
      <c r="G44" s="55"/>
    </row>
    <row r="45" spans="1:7" s="8" customFormat="1" ht="12.75">
      <c r="A45" s="55"/>
      <c r="C45" s="55"/>
      <c r="D45" s="55"/>
      <c r="E45" s="55"/>
      <c r="F45" s="55"/>
      <c r="G45" s="55"/>
    </row>
    <row r="46" spans="1:7" s="8" customFormat="1" ht="12.75">
      <c r="A46" s="55"/>
      <c r="C46" s="55"/>
      <c r="D46" s="55"/>
      <c r="E46" s="55"/>
      <c r="F46" s="55"/>
      <c r="G46" s="55"/>
    </row>
    <row r="47" spans="1:7" s="8" customFormat="1" ht="12.75">
      <c r="A47" s="55"/>
      <c r="C47" s="55"/>
      <c r="D47" s="55"/>
      <c r="E47" s="55"/>
      <c r="F47" s="55"/>
      <c r="G47" s="55"/>
    </row>
    <row r="48" spans="1:7" s="8" customFormat="1" ht="12.75">
      <c r="A48" s="55"/>
      <c r="C48" s="55"/>
      <c r="D48" s="55"/>
      <c r="E48" s="55"/>
      <c r="F48" s="55"/>
      <c r="G48" s="55"/>
    </row>
    <row r="49" spans="1:7" s="8" customFormat="1" ht="12.75">
      <c r="A49" s="55"/>
      <c r="C49" s="55"/>
      <c r="D49" s="55"/>
      <c r="E49" s="55"/>
      <c r="F49" s="55"/>
      <c r="G49" s="55"/>
    </row>
    <row r="50" spans="1:7" s="8" customFormat="1" ht="12.75">
      <c r="A50" s="55"/>
      <c r="C50" s="55"/>
      <c r="D50" s="55"/>
      <c r="E50" s="55"/>
      <c r="F50" s="55"/>
      <c r="G50" s="55"/>
    </row>
    <row r="51" spans="1:7" s="8" customFormat="1" ht="12.75">
      <c r="A51" s="55"/>
      <c r="C51" s="55"/>
      <c r="D51" s="55"/>
      <c r="E51" s="55"/>
      <c r="F51" s="55"/>
      <c r="G51" s="55"/>
    </row>
    <row r="52" spans="1:7" s="8" customFormat="1" ht="12.75">
      <c r="A52" s="55"/>
      <c r="C52" s="55"/>
      <c r="D52" s="55"/>
      <c r="E52" s="55"/>
      <c r="F52" s="55"/>
      <c r="G52" s="55"/>
    </row>
    <row r="53" spans="1:7" s="8" customFormat="1" ht="12.75">
      <c r="A53" s="55"/>
      <c r="C53" s="55"/>
      <c r="D53" s="55"/>
      <c r="E53" s="55"/>
      <c r="F53" s="55"/>
      <c r="G53" s="55"/>
    </row>
    <row r="54" spans="1:7" s="8" customFormat="1" ht="12.75">
      <c r="A54" s="230"/>
      <c r="B54" s="231"/>
      <c r="C54" s="230"/>
      <c r="D54" s="230"/>
      <c r="E54" s="230"/>
      <c r="F54" s="230"/>
      <c r="G54" s="55"/>
    </row>
    <row r="55" spans="1:7" s="8" customFormat="1" ht="12.75">
      <c r="A55" s="55"/>
      <c r="C55" s="55"/>
      <c r="D55" s="55"/>
      <c r="E55" s="55"/>
      <c r="F55" s="55"/>
      <c r="G55" s="55"/>
    </row>
    <row r="56" spans="1:7" s="8" customFormat="1" ht="12.75">
      <c r="A56" s="55"/>
      <c r="C56" s="55"/>
      <c r="D56" s="55"/>
      <c r="E56" s="55"/>
      <c r="F56" s="55"/>
      <c r="G56" s="55"/>
    </row>
    <row r="57" s="8" customFormat="1" ht="12.75">
      <c r="G57" s="55"/>
    </row>
    <row r="58" spans="1:7" s="8" customFormat="1" ht="12.75">
      <c r="A58" s="55"/>
      <c r="C58" s="55"/>
      <c r="D58" s="55"/>
      <c r="E58" s="55"/>
      <c r="F58" s="55"/>
      <c r="G58" s="55"/>
    </row>
    <row r="59" spans="1:7" s="8" customFormat="1" ht="12.75">
      <c r="A59" s="55"/>
      <c r="C59" s="55"/>
      <c r="D59" s="55"/>
      <c r="E59" s="55"/>
      <c r="F59" s="55"/>
      <c r="G59" s="55"/>
    </row>
    <row r="60" spans="1:7" s="8" customFormat="1" ht="12.75">
      <c r="A60" s="55"/>
      <c r="C60" s="55"/>
      <c r="D60" s="55"/>
      <c r="E60" s="55"/>
      <c r="F60" s="55"/>
      <c r="G60" s="55"/>
    </row>
    <row r="61" spans="1:7" s="8" customFormat="1" ht="12.75">
      <c r="A61" s="55"/>
      <c r="C61" s="55"/>
      <c r="D61" s="55"/>
      <c r="E61" s="55"/>
      <c r="F61" s="55"/>
      <c r="G61" s="55"/>
    </row>
    <row r="62" spans="1:7" s="8" customFormat="1" ht="12.75">
      <c r="A62" s="55"/>
      <c r="C62" s="55"/>
      <c r="D62" s="55"/>
      <c r="E62" s="55"/>
      <c r="F62" s="55"/>
      <c r="G62" s="55"/>
    </row>
    <row r="63" spans="1:7" s="8" customFormat="1" ht="12.75">
      <c r="A63" s="55"/>
      <c r="C63" s="55"/>
      <c r="D63" s="55"/>
      <c r="E63" s="55"/>
      <c r="F63" s="55"/>
      <c r="G63" s="55"/>
    </row>
    <row r="64" spans="1:13" s="8" customFormat="1" ht="12.75">
      <c r="A64" s="55"/>
      <c r="C64" s="55"/>
      <c r="D64" s="55"/>
      <c r="E64" s="55"/>
      <c r="F64" s="55"/>
      <c r="G64" s="55"/>
      <c r="H64" s="55"/>
      <c r="I64" s="55"/>
      <c r="J64" s="55"/>
      <c r="K64" s="55"/>
      <c r="L64" s="55"/>
      <c r="M64" s="55"/>
    </row>
  </sheetData>
  <sheetProtection password="C7E2" sheet="1" objects="1" scenarios="1"/>
  <printOptions horizontalCentered="1"/>
  <pageMargins left="0.984251968503937" right="0.984251968503937" top="0.7874015748031497" bottom="0.984251968503937" header="0.6299212598425197" footer="0.4724409448818898"/>
  <pageSetup horizontalDpi="300" verticalDpi="300" orientation="portrait" paperSize="9" r:id="rId4"/>
  <headerFooter alignWithMargins="0">
    <oddFooter>&amp;C&amp;"Arial,Kurziv"&amp;12&amp;XProgram za izračun rezultata i provođenje natjecanja</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Sheet49">
    <tabColor indexed="13"/>
  </sheetPr>
  <dimension ref="A1:K70"/>
  <sheetViews>
    <sheetView showRowColHeaders="0" zoomScalePageLayoutView="0" workbookViewId="0" topLeftCell="A71">
      <selection activeCell="A1" sqref="A1:IV70"/>
    </sheetView>
  </sheetViews>
  <sheetFormatPr defaultColWidth="9.140625" defaultRowHeight="12.75"/>
  <cols>
    <col min="1" max="1" width="16.7109375" style="0" bestFit="1" customWidth="1"/>
    <col min="2" max="2" width="18.7109375" style="0" bestFit="1" customWidth="1"/>
    <col min="3" max="3" width="7.28125" style="0" customWidth="1"/>
    <col min="4" max="4" width="7.140625" style="0" customWidth="1"/>
    <col min="5" max="5" width="8.57421875" style="47" customWidth="1"/>
    <col min="6" max="6" width="9.00390625" style="0" customWidth="1"/>
    <col min="7" max="8" width="11.00390625" style="0" customWidth="1"/>
    <col min="9" max="9" width="9.421875" style="62" hidden="1" customWidth="1"/>
    <col min="10" max="10" width="11.421875" style="0" hidden="1" customWidth="1"/>
    <col min="11" max="11" width="9.140625" style="0" hidden="1" customWidth="1"/>
  </cols>
  <sheetData>
    <row r="1" spans="3:11" ht="12.75" hidden="1">
      <c r="C1" s="77" t="s">
        <v>91</v>
      </c>
      <c r="K1" s="16"/>
    </row>
    <row r="2" ht="12.75" hidden="1">
      <c r="C2" s="77">
        <f>IF(ISNONTEXT('Organizacija natjecanja'!H2)=TRUE,"",'Organizacija natjecanja'!H2)</f>
      </c>
    </row>
    <row r="3" ht="12.75" hidden="1">
      <c r="E3">
        <f>IF(ISNONTEXT('Organizacija natjecanja'!H5)=TRUE,"",'Organizacija natjecanja'!H5)</f>
      </c>
    </row>
    <row r="4" spans="1:8" ht="12.75" hidden="1">
      <c r="A4" s="63"/>
      <c r="G4" s="49"/>
      <c r="H4" s="49"/>
    </row>
    <row r="5" spans="1:11" ht="38.25" hidden="1">
      <c r="A5" s="64" t="s">
        <v>54</v>
      </c>
      <c r="B5" s="64" t="s">
        <v>93</v>
      </c>
      <c r="C5" s="59" t="s">
        <v>22</v>
      </c>
      <c r="D5" s="59" t="s">
        <v>23</v>
      </c>
      <c r="E5" s="51" t="s">
        <v>72</v>
      </c>
      <c r="F5" s="14" t="s">
        <v>92</v>
      </c>
      <c r="G5" s="65" t="s">
        <v>94</v>
      </c>
      <c r="H5" s="65" t="s">
        <v>134</v>
      </c>
      <c r="I5" s="509" t="s">
        <v>132</v>
      </c>
      <c r="J5" s="509"/>
      <c r="K5" s="509"/>
    </row>
    <row r="6" spans="1:11" ht="12.75" hidden="1">
      <c r="A6" s="16">
        <f>IF(ISNONTEXT('Sektorski plasman'!D78)=TRUE,"",'Sektorski plasman'!D78)</f>
      </c>
      <c r="B6" s="16">
        <f>IF(AND(ISTEXT('Sektorski plasman'!D78)=TRUE,ISNUMBER(F6)=FALSE),"",'Sektorski plasman'!E78)</f>
      </c>
      <c r="C6" s="57">
        <f>IF(ISNUMBER('Sektorski plasman'!C78)=FALSE,"",'Sektorski plasman'!C78)</f>
      </c>
      <c r="D6" s="57">
        <f>IF(ISNUMBER(F6)=FALSE,"","E")</f>
      </c>
      <c r="E6" s="47">
        <f>IF(AND(ISNUMBER('Sektorski plasman'!A78)=TRUE,ISNUMBER(C6)=TRUE),'Sektorski plasman'!A78,"")</f>
      </c>
      <c r="F6" s="57">
        <f>IF(ISNUMBER('Sektorski plasman'!B78)=FALSE,"",'Sektorski plasman'!B78)</f>
      </c>
      <c r="G6" s="56">
        <f aca="true" t="shared" si="0" ref="G6:G37">IF(AND(ISNUMBER(E6)=TRUE,ISNUMBER(F6)=TRUE),I6,"")</f>
      </c>
      <c r="H6" s="56">
        <f>IF(ISNUMBER(G6)=TRUE,VLOOKUP(B6,'Upis rezultata A sektora'!$D$2:$G$13,4,FALSE),"")</f>
      </c>
      <c r="I6" s="61">
        <f aca="true" t="shared" si="1" ref="I6:I37">IF(ISNUMBER(E6)=FALSE,"",RANK(J6,$J$6:$J$65,1))</f>
      </c>
      <c r="J6">
        <f aca="true" t="shared" si="2" ref="J6:J37">IF(ISNUMBER(E6)=FALSE,"",E6-K6/100000)</f>
      </c>
      <c r="K6">
        <f aca="true" t="shared" si="3" ref="K6:K37">IF(ISNUMBER(F6)=FALSE,0,F6)</f>
        <v>0</v>
      </c>
    </row>
    <row r="7" spans="1:11" ht="12.75" hidden="1">
      <c r="A7" s="16">
        <f>IF(ISNONTEXT('Sektorski plasman'!D61)=TRUE,"",'Sektorski plasman'!D61)</f>
      </c>
      <c r="B7" s="16">
        <f>IF(AND(ISTEXT('Sektorski plasman'!D61)=TRUE,ISNUMBER(F7)=FALSE),"",'Sektorski plasman'!E61)</f>
      </c>
      <c r="C7" s="57">
        <f>IF(ISNUMBER('Sektorski plasman'!C61)=FALSE,"",'Sektorski plasman'!C61)</f>
      </c>
      <c r="D7" s="57">
        <f>IF(ISNUMBER(F7)=FALSE,"","D")</f>
      </c>
      <c r="E7" s="47">
        <f>IF(AND(ISNUMBER('Sektorski plasman'!A61)=TRUE,ISNUMBER(C7)=TRUE),'Sektorski plasman'!A61,"")</f>
      </c>
      <c r="F7" s="57">
        <f>IF(ISNUMBER('Sektorski plasman'!B61)=FALSE,"",'Sektorski plasman'!B61)</f>
      </c>
      <c r="G7" s="56">
        <f t="shared" si="0"/>
      </c>
      <c r="H7" s="56">
        <f>IF(ISNUMBER(G7)=TRUE,VLOOKUP(B7,'Upis rezultata A sektora'!$D$2:$G$13,4,FALSE),"")</f>
      </c>
      <c r="I7" s="61">
        <f t="shared" si="1"/>
      </c>
      <c r="J7">
        <f t="shared" si="2"/>
      </c>
      <c r="K7">
        <f t="shared" si="3"/>
        <v>0</v>
      </c>
    </row>
    <row r="8" spans="1:11" ht="12.75" hidden="1">
      <c r="A8" s="16">
        <f>IF(ISNONTEXT('Sektorski plasman'!D42)=TRUE,"",'Sektorski plasman'!D42)</f>
      </c>
      <c r="B8" s="16">
        <f>IF(AND(ISTEXT('Sektorski plasman'!D42)=TRUE,ISNUMBER(F8)=FALSE),"",'Sektorski plasman'!E42)</f>
      </c>
      <c r="C8" s="57">
        <f>IF(ISNUMBER('Sektorski plasman'!C42)=FALSE,"",'Sektorski plasman'!C42)</f>
      </c>
      <c r="D8" s="57">
        <f>IF(ISNUMBER(F8)=FALSE,"","C")</f>
      </c>
      <c r="E8" s="47">
        <f>IF(AND(ISNUMBER('Sektorski plasman'!A42)=TRUE,ISNUMBER(C8)=TRUE),'Sektorski plasman'!A42,"")</f>
      </c>
      <c r="F8" s="57">
        <f>IF(ISNUMBER('Sektorski plasman'!B42)=FALSE,"",'Sektorski plasman'!B42)</f>
      </c>
      <c r="G8" s="56">
        <f t="shared" si="0"/>
      </c>
      <c r="H8" s="56">
        <f>IF(ISNUMBER(G8)=TRUE,VLOOKUP(B8,'Upis rezultata A sektora'!$D$2:$G$13,4,FALSE),"")</f>
      </c>
      <c r="I8" s="61">
        <f t="shared" si="1"/>
      </c>
      <c r="J8">
        <f t="shared" si="2"/>
      </c>
      <c r="K8">
        <f t="shared" si="3"/>
        <v>0</v>
      </c>
    </row>
    <row r="9" spans="1:11" ht="12.75" hidden="1">
      <c r="A9" s="16">
        <f>IF(ISNONTEXT('Sektorski plasman'!D25)=TRUE,"",'Sektorski plasman'!D25)</f>
      </c>
      <c r="B9" s="16">
        <f>IF(AND(ISTEXT('Sektorski plasman'!D25)=TRUE,ISNUMBER(F9)=FALSE),"",'Sektorski plasman'!E25)</f>
      </c>
      <c r="C9" s="57">
        <f>IF(ISNUMBER('Sektorski plasman'!C25)=FALSE,"",'Sektorski plasman'!C25)</f>
      </c>
      <c r="D9" s="57">
        <f>IF(ISNUMBER(F9)=FALSE,"","B")</f>
      </c>
      <c r="E9" s="47">
        <f>IF(AND(ISNUMBER('Sektorski plasman'!A25)=TRUE,ISNUMBER(C9)=TRUE),'Sektorski plasman'!A25,"")</f>
      </c>
      <c r="F9" s="57">
        <f>IF(ISNUMBER('Sektorski plasman'!B25)=FALSE,"",'Sektorski plasman'!B25)</f>
      </c>
      <c r="G9" s="56">
        <f t="shared" si="0"/>
      </c>
      <c r="H9" s="56">
        <f>IF(ISNUMBER(G9)=TRUE,VLOOKUP(B9,'Upis rezultata A sektora'!$D$2:$G$13,4,FALSE),"")</f>
      </c>
      <c r="I9" s="61">
        <f t="shared" si="1"/>
      </c>
      <c r="J9">
        <f t="shared" si="2"/>
      </c>
      <c r="K9">
        <f t="shared" si="3"/>
        <v>0</v>
      </c>
    </row>
    <row r="10" spans="1:11" ht="12.75" hidden="1">
      <c r="A10" s="16">
        <f>IF(ISNONTEXT('Sektorski plasman'!D8)=TRUE,"",'Sektorski plasman'!D8)</f>
      </c>
      <c r="B10" s="16">
        <f>IF(AND(ISTEXT('Sektorski plasman'!D8)=TRUE,ISNUMBER(F10)=FALSE),"",'Sektorski plasman'!E8)</f>
      </c>
      <c r="C10" s="57">
        <f>IF(ISNUMBER('Sektorski plasman'!C8)=FALSE,"",'Sektorski plasman'!C8)</f>
      </c>
      <c r="D10" s="57">
        <f>IF(ISNUMBER(F10)=FALSE,"","A")</f>
      </c>
      <c r="E10" s="47">
        <f>IF(AND(ISNUMBER('Sektorski plasman'!A8)=TRUE,ISNUMBER(C10)=TRUE),'Sektorski plasman'!A8,"")</f>
      </c>
      <c r="F10" s="57">
        <f>IF(ISNUMBER('Sektorski plasman'!B8)=FALSE,"",'Sektorski plasman'!B8)</f>
      </c>
      <c r="G10" s="56">
        <f t="shared" si="0"/>
      </c>
      <c r="H10" s="56">
        <f>IF(ISNUMBER(G10)=TRUE,VLOOKUP(B10,'Upis rezultata A sektora'!$D$2:$G$13,4,FALSE),"")</f>
      </c>
      <c r="I10" s="61">
        <f t="shared" si="1"/>
      </c>
      <c r="J10">
        <f t="shared" si="2"/>
      </c>
      <c r="K10">
        <f t="shared" si="3"/>
        <v>0</v>
      </c>
    </row>
    <row r="11" spans="1:11" ht="12.75" hidden="1">
      <c r="A11" s="16">
        <f>IF(ISNONTEXT('Sektorski plasman'!D43)=TRUE,"",'Sektorski plasman'!D43)</f>
      </c>
      <c r="B11" s="16">
        <f>IF(AND(ISTEXT('Sektorski plasman'!D43)=TRUE,ISNUMBER(F11)=FALSE),"",'Sektorski plasman'!E43)</f>
      </c>
      <c r="C11" s="57">
        <f>IF(ISNUMBER('Sektorski plasman'!C43)=FALSE,"",'Sektorski plasman'!C43)</f>
      </c>
      <c r="D11" s="57">
        <f>IF(ISNUMBER(F11)=FALSE,"","C")</f>
      </c>
      <c r="E11" s="47">
        <f>IF(AND(ISNUMBER('Sektorski plasman'!A43)=TRUE,ISNUMBER(C11)=TRUE),'Sektorski plasman'!A43,"")</f>
      </c>
      <c r="F11" s="57">
        <f>IF(ISNUMBER('Sektorski plasman'!B43)=FALSE,"",'Sektorski plasman'!B43)</f>
      </c>
      <c r="G11" s="56">
        <f t="shared" si="0"/>
      </c>
      <c r="H11" s="56">
        <f>IF(ISNUMBER(G11)=TRUE,VLOOKUP(B11,'Upis rezultata A sektora'!$D$2:$G$13,4,FALSE),"")</f>
      </c>
      <c r="I11" s="61">
        <f t="shared" si="1"/>
      </c>
      <c r="J11">
        <f t="shared" si="2"/>
      </c>
      <c r="K11">
        <f t="shared" si="3"/>
        <v>0</v>
      </c>
    </row>
    <row r="12" spans="1:11" ht="12.75" hidden="1">
      <c r="A12" s="16">
        <f>IF(ISNONTEXT('Sektorski plasman'!D9)=TRUE,"",'Sektorski plasman'!D9)</f>
      </c>
      <c r="B12" s="16">
        <f>IF(AND(ISTEXT('Sektorski plasman'!D9)=TRUE,ISNUMBER(F12)=FALSE),"",'Sektorski plasman'!E9)</f>
      </c>
      <c r="C12" s="57">
        <f>IF(ISNUMBER('Sektorski plasman'!C9)=FALSE,"",'Sektorski plasman'!C9)</f>
      </c>
      <c r="D12" s="57">
        <f>IF(ISNUMBER(F12)=FALSE,"","A")</f>
      </c>
      <c r="E12" s="47">
        <f>IF(AND(ISNUMBER('Sektorski plasman'!A9)=TRUE,ISNUMBER(C12)=TRUE),'Sektorski plasman'!A9,"")</f>
      </c>
      <c r="F12" s="57">
        <f>IF(ISNUMBER('Sektorski plasman'!B9)=FALSE,"",'Sektorski plasman'!B9)</f>
      </c>
      <c r="G12" s="56">
        <f t="shared" si="0"/>
      </c>
      <c r="H12" s="56">
        <f>IF(ISNUMBER(G12)=TRUE,VLOOKUP(B12,'Upis rezultata A sektora'!$D$2:$G$13,4,FALSE),"")</f>
      </c>
      <c r="I12" s="61">
        <f t="shared" si="1"/>
      </c>
      <c r="J12">
        <f t="shared" si="2"/>
      </c>
      <c r="K12">
        <f t="shared" si="3"/>
        <v>0</v>
      </c>
    </row>
    <row r="13" spans="1:11" ht="12.75" hidden="1">
      <c r="A13" s="16">
        <f>IF(ISNONTEXT('Sektorski plasman'!D79)=TRUE,"",'Sektorski plasman'!D79)</f>
      </c>
      <c r="B13" s="16">
        <f>IF(AND(ISTEXT('Sektorski plasman'!D79)=TRUE,ISNUMBER(F13)=FALSE),"",'Sektorski plasman'!E79)</f>
      </c>
      <c r="C13" s="57">
        <f>IF(ISNUMBER('Sektorski plasman'!C79)=FALSE,"",'Sektorski plasman'!C79)</f>
      </c>
      <c r="D13" s="57">
        <f>IF(ISNUMBER(F13)=FALSE,"","E")</f>
      </c>
      <c r="E13" s="47">
        <f>IF(AND(ISNUMBER('Sektorski plasman'!A79)=TRUE,ISNUMBER(C13)=TRUE),'Sektorski plasman'!A79,"")</f>
      </c>
      <c r="F13" s="57">
        <f>IF(ISNUMBER('Sektorski plasman'!B79)=FALSE,"",'Sektorski plasman'!B79)</f>
      </c>
      <c r="G13" s="56">
        <f t="shared" si="0"/>
      </c>
      <c r="H13" s="56">
        <f>IF(ISNUMBER(G13)=TRUE,VLOOKUP(B13,'Upis rezultata A sektora'!$D$2:$G$13,4,FALSE),"")</f>
      </c>
      <c r="I13" s="61">
        <f t="shared" si="1"/>
      </c>
      <c r="J13">
        <f t="shared" si="2"/>
      </c>
      <c r="K13">
        <f t="shared" si="3"/>
        <v>0</v>
      </c>
    </row>
    <row r="14" spans="1:11" ht="12.75" hidden="1">
      <c r="A14" s="16">
        <f>IF(ISNONTEXT('Sektorski plasman'!D26)=TRUE,"",'Sektorski plasman'!D26)</f>
      </c>
      <c r="B14" s="16">
        <f>IF(AND(ISTEXT('Sektorski plasman'!D26)=TRUE,ISNUMBER(F14)=FALSE),"",'Sektorski plasman'!E26)</f>
      </c>
      <c r="C14" s="57">
        <f>IF(ISNUMBER('Sektorski plasman'!C26)=FALSE,"",'Sektorski plasman'!C26)</f>
      </c>
      <c r="D14" s="57">
        <f>IF(ISNUMBER(F14)=FALSE,"","B")</f>
      </c>
      <c r="E14" s="47">
        <f>IF(AND(ISNUMBER('Sektorski plasman'!A26)=TRUE,ISNUMBER(C14)=TRUE),'Sektorski plasman'!A26,"")</f>
      </c>
      <c r="F14" s="57">
        <f>IF(ISNUMBER('Sektorski plasman'!B26)=FALSE,"",'Sektorski plasman'!B26)</f>
      </c>
      <c r="G14" s="56">
        <f t="shared" si="0"/>
      </c>
      <c r="H14" s="56">
        <f>IF(ISNUMBER(G14)=TRUE,VLOOKUP(B14,'Upis rezultata A sektora'!$D$2:$G$13,4,FALSE),"")</f>
      </c>
      <c r="I14" s="61">
        <f t="shared" si="1"/>
      </c>
      <c r="J14">
        <f t="shared" si="2"/>
      </c>
      <c r="K14">
        <f t="shared" si="3"/>
        <v>0</v>
      </c>
    </row>
    <row r="15" spans="1:11" ht="12.75" hidden="1">
      <c r="A15" s="16">
        <f>IF(ISNONTEXT('Sektorski plasman'!D62)=TRUE,"",'Sektorski plasman'!D62)</f>
      </c>
      <c r="B15" s="16">
        <f>IF(AND(ISTEXT('Sektorski plasman'!D62)=TRUE,ISNUMBER(F15)=FALSE),"",'Sektorski plasman'!E62)</f>
      </c>
      <c r="C15" s="57">
        <f>IF(ISNUMBER('Sektorski plasman'!C62)=FALSE,"",'Sektorski plasman'!C62)</f>
      </c>
      <c r="D15" s="57">
        <f>IF(ISNUMBER(F15)=FALSE,"","D")</f>
      </c>
      <c r="E15" s="47">
        <f>IF(AND(ISNUMBER('Sektorski plasman'!A62)=TRUE,ISNUMBER(C15)=TRUE),'Sektorski plasman'!A62,"")</f>
      </c>
      <c r="F15" s="57">
        <f>IF(ISNUMBER('Sektorski plasman'!B62)=FALSE,"",'Sektorski plasman'!B62)</f>
      </c>
      <c r="G15" s="56">
        <f t="shared" si="0"/>
      </c>
      <c r="H15" s="56">
        <f>IF(ISNUMBER(G15)=TRUE,VLOOKUP(B15,'Upis rezultata A sektora'!$D$2:$G$13,4,FALSE),"")</f>
      </c>
      <c r="I15" s="61">
        <f t="shared" si="1"/>
      </c>
      <c r="J15">
        <f t="shared" si="2"/>
      </c>
      <c r="K15">
        <f t="shared" si="3"/>
        <v>0</v>
      </c>
    </row>
    <row r="16" spans="1:11" ht="12.75" hidden="1">
      <c r="A16" s="16">
        <f>IF(ISNONTEXT('Sektorski plasman'!D44)=TRUE,"",'Sektorski plasman'!D44)</f>
      </c>
      <c r="B16" s="16">
        <f>IF(AND(ISTEXT('Sektorski plasman'!D44)=TRUE,ISNUMBER(F16)=FALSE),"",'Sektorski plasman'!E44)</f>
      </c>
      <c r="C16" s="57">
        <f>IF(ISNUMBER('Sektorski plasman'!C44)=FALSE,"",'Sektorski plasman'!C44)</f>
      </c>
      <c r="D16" s="57">
        <f>IF(ISNUMBER(F16)=FALSE,"","C")</f>
      </c>
      <c r="E16" s="47">
        <f>IF(AND(ISNUMBER('Sektorski plasman'!A44)=TRUE,ISNUMBER(C16)=TRUE),'Sektorski plasman'!A44,"")</f>
      </c>
      <c r="F16" s="57">
        <f>IF(ISNUMBER('Sektorski plasman'!B44)=FALSE,"",'Sektorski plasman'!B44)</f>
      </c>
      <c r="G16" s="56">
        <f t="shared" si="0"/>
      </c>
      <c r="H16" s="56">
        <f>IF(ISNUMBER(G16)=TRUE,VLOOKUP(B16,'Upis rezultata A sektora'!$D$2:$G$13,4,FALSE),"")</f>
      </c>
      <c r="I16" s="61">
        <f t="shared" si="1"/>
      </c>
      <c r="J16">
        <f t="shared" si="2"/>
      </c>
      <c r="K16">
        <f t="shared" si="3"/>
        <v>0</v>
      </c>
    </row>
    <row r="17" spans="1:11" ht="12.75" hidden="1">
      <c r="A17" s="16">
        <f>IF(ISNONTEXT('Sektorski plasman'!D10)=TRUE,"",'Sektorski plasman'!D10)</f>
      </c>
      <c r="B17" s="16">
        <f>IF(AND(ISTEXT('Sektorski plasman'!D10)=TRUE,ISNUMBER(F17)=FALSE),"",'Sektorski plasman'!E10)</f>
      </c>
      <c r="C17" s="57">
        <f>IF(ISNUMBER('Sektorski plasman'!C10)=FALSE,"",'Sektorski plasman'!C10)</f>
      </c>
      <c r="D17" s="57">
        <f>IF(ISNUMBER(F17)=FALSE,"","A")</f>
      </c>
      <c r="E17" s="47">
        <f>IF(AND(ISNUMBER('Sektorski plasman'!A10)=TRUE,ISNUMBER(C17)=TRUE),'Sektorski plasman'!A10,"")</f>
      </c>
      <c r="F17" s="57">
        <f>IF(ISNUMBER('Sektorski plasman'!B10)=FALSE,"",'Sektorski plasman'!B10)</f>
      </c>
      <c r="G17" s="56">
        <f t="shared" si="0"/>
      </c>
      <c r="H17" s="56">
        <f>IF(ISNUMBER(G17)=TRUE,VLOOKUP(B17,'Upis rezultata A sektora'!$D$2:$G$13,4,FALSE),"")</f>
      </c>
      <c r="I17" s="61">
        <f t="shared" si="1"/>
      </c>
      <c r="J17">
        <f t="shared" si="2"/>
      </c>
      <c r="K17">
        <f t="shared" si="3"/>
        <v>0</v>
      </c>
    </row>
    <row r="18" spans="1:11" ht="12.75" hidden="1">
      <c r="A18" s="16">
        <f>IF(ISNONTEXT('Sektorski plasman'!D63)=TRUE,"",'Sektorski plasman'!D63)</f>
      </c>
      <c r="B18" s="16">
        <f>IF(AND(ISTEXT('Sektorski plasman'!D63)=TRUE,ISNUMBER(F18)=FALSE),"",'Sektorski plasman'!E63)</f>
      </c>
      <c r="C18" s="57">
        <f>IF(ISNUMBER('Sektorski plasman'!C63)=FALSE,"",'Sektorski plasman'!C63)</f>
      </c>
      <c r="D18" s="57">
        <f>IF(ISNUMBER(F18)=FALSE,"","D")</f>
      </c>
      <c r="E18" s="47">
        <f>IF(AND(ISNUMBER('Sektorski plasman'!A63)=TRUE,ISNUMBER(C18)=TRUE),'Sektorski plasman'!A63,"")</f>
      </c>
      <c r="F18" s="57">
        <f>IF(ISNUMBER('Sektorski plasman'!B63)=FALSE,"",'Sektorski plasman'!B63)</f>
      </c>
      <c r="G18" s="56">
        <f t="shared" si="0"/>
      </c>
      <c r="H18" s="56">
        <f>IF(ISNUMBER(G18)=TRUE,VLOOKUP(B18,'Upis rezultata A sektora'!$D$2:$G$13,4,FALSE),"")</f>
      </c>
      <c r="I18" s="61">
        <f t="shared" si="1"/>
      </c>
      <c r="J18">
        <f t="shared" si="2"/>
      </c>
      <c r="K18">
        <f t="shared" si="3"/>
        <v>0</v>
      </c>
    </row>
    <row r="19" spans="1:11" ht="12.75" hidden="1">
      <c r="A19" s="16">
        <f>IF(ISNONTEXT('Sektorski plasman'!D27)=TRUE,"",'Sektorski plasman'!D27)</f>
      </c>
      <c r="B19" s="16">
        <f>IF(AND(ISTEXT('Sektorski plasman'!D27)=TRUE,ISNUMBER(F19)=FALSE),"",'Sektorski plasman'!E27)</f>
      </c>
      <c r="C19" s="57">
        <f>IF(ISNUMBER('Sektorski plasman'!C27)=FALSE,"",'Sektorski plasman'!C27)</f>
      </c>
      <c r="D19" s="57">
        <f>IF(ISNUMBER(F19)=FALSE,"","B")</f>
      </c>
      <c r="E19" s="47">
        <f>IF(AND(ISNUMBER('Sektorski plasman'!A27)=TRUE,ISNUMBER(C19)=TRUE),'Sektorski plasman'!A27,"")</f>
      </c>
      <c r="F19" s="57">
        <f>IF(ISNUMBER('Sektorski plasman'!B27)=FALSE,"",'Sektorski plasman'!B27)</f>
      </c>
      <c r="G19" s="56">
        <f t="shared" si="0"/>
      </c>
      <c r="H19" s="56">
        <f>IF(ISNUMBER(G19)=TRUE,VLOOKUP(B19,'Upis rezultata A sektora'!$D$2:$G$13,4,FALSE),"")</f>
      </c>
      <c r="I19" s="61">
        <f t="shared" si="1"/>
      </c>
      <c r="J19">
        <f t="shared" si="2"/>
      </c>
      <c r="K19">
        <f t="shared" si="3"/>
        <v>0</v>
      </c>
    </row>
    <row r="20" spans="1:11" ht="12.75" hidden="1">
      <c r="A20" s="16">
        <f>IF(ISNONTEXT('Sektorski plasman'!D80)=TRUE,"",'Sektorski plasman'!D80)</f>
      </c>
      <c r="B20" s="16">
        <f>IF(AND(ISTEXT('Sektorski plasman'!D80)=TRUE,ISNUMBER(F20)=FALSE),"",'Sektorski plasman'!E80)</f>
      </c>
      <c r="C20" s="57">
        <f>IF(ISNUMBER('Sektorski plasman'!C80)=FALSE,"",'Sektorski plasman'!C80)</f>
      </c>
      <c r="D20" s="57">
        <f>IF(ISNUMBER(F20)=FALSE,"","E")</f>
      </c>
      <c r="E20" s="47">
        <f>IF(AND(ISNUMBER('Sektorski plasman'!A80)=TRUE,ISNUMBER(C20)=TRUE),'Sektorski plasman'!A80,"")</f>
      </c>
      <c r="F20" s="57">
        <f>IF(ISNUMBER('Sektorski plasman'!B80)=FALSE,"",'Sektorski plasman'!B80)</f>
      </c>
      <c r="G20" s="56">
        <f t="shared" si="0"/>
      </c>
      <c r="H20" s="56">
        <f>IF(ISNUMBER(G20)=TRUE,VLOOKUP(B20,'Upis rezultata A sektora'!$D$2:$G$13,4,FALSE),"")</f>
      </c>
      <c r="I20" s="61">
        <f t="shared" si="1"/>
      </c>
      <c r="J20">
        <f t="shared" si="2"/>
      </c>
      <c r="K20">
        <f t="shared" si="3"/>
        <v>0</v>
      </c>
    </row>
    <row r="21" spans="1:11" ht="12.75" hidden="1">
      <c r="A21" s="16">
        <f>IF(ISNONTEXT('Sektorski plasman'!D81)=TRUE,"",'Sektorski plasman'!D81)</f>
      </c>
      <c r="B21" s="16">
        <f>IF(AND(ISTEXT('Sektorski plasman'!D81)=TRUE,ISNUMBER(F21)=FALSE),"",'Sektorski plasman'!E81)</f>
      </c>
      <c r="C21" s="57">
        <f>IF(ISNUMBER('Sektorski plasman'!C81)=FALSE,"",'Sektorski plasman'!C81)</f>
      </c>
      <c r="D21" s="57">
        <f>IF(ISNUMBER(F21)=FALSE,"","E")</f>
      </c>
      <c r="E21" s="47">
        <f>IF(AND(ISNUMBER('Sektorski plasman'!A81)=TRUE,ISNUMBER(C21)=TRUE),'Sektorski plasman'!A81,"")</f>
      </c>
      <c r="F21" s="57">
        <f>IF(ISNUMBER('Sektorski plasman'!B81)=FALSE,"",'Sektorski plasman'!B81)</f>
      </c>
      <c r="G21" s="56">
        <f t="shared" si="0"/>
      </c>
      <c r="H21" s="56">
        <f>IF(ISNUMBER(G21)=TRUE,VLOOKUP(B21,'Upis rezultata A sektora'!$D$2:$G$13,4,FALSE),"")</f>
      </c>
      <c r="I21" s="61">
        <f t="shared" si="1"/>
      </c>
      <c r="J21">
        <f t="shared" si="2"/>
      </c>
      <c r="K21">
        <f t="shared" si="3"/>
        <v>0</v>
      </c>
    </row>
    <row r="22" spans="1:11" ht="12.75" hidden="1">
      <c r="A22" s="16">
        <f>IF(ISNONTEXT('Sektorski plasman'!D11)=TRUE,"",'Sektorski plasman'!D11)</f>
      </c>
      <c r="B22" s="16">
        <f>IF(AND(ISTEXT('Sektorski plasman'!D11)=TRUE,ISNUMBER(F22)=FALSE),"",'Sektorski plasman'!E11)</f>
      </c>
      <c r="C22" s="57">
        <f>IF(ISNUMBER('Sektorski plasman'!C11)=FALSE,"",'Sektorski plasman'!C11)</f>
      </c>
      <c r="D22" s="57">
        <f>IF(ISNUMBER(F22)=FALSE,"","A")</f>
      </c>
      <c r="E22" s="47">
        <f>IF(AND(ISNUMBER('Sektorski plasman'!A11)=TRUE,ISNUMBER(C22)=TRUE),'Sektorski plasman'!A11,"")</f>
      </c>
      <c r="F22" s="57">
        <f>IF(ISNUMBER('Sektorski plasman'!B11)=FALSE,"",'Sektorski plasman'!B11)</f>
      </c>
      <c r="G22" s="56">
        <f t="shared" si="0"/>
      </c>
      <c r="H22" s="56">
        <f>IF(ISNUMBER(G22)=TRUE,VLOOKUP(B22,'Upis rezultata A sektora'!$D$2:$G$13,4,FALSE),"")</f>
      </c>
      <c r="I22" s="61">
        <f t="shared" si="1"/>
      </c>
      <c r="J22">
        <f t="shared" si="2"/>
      </c>
      <c r="K22">
        <f t="shared" si="3"/>
        <v>0</v>
      </c>
    </row>
    <row r="23" spans="1:11" ht="12.75" hidden="1">
      <c r="A23" s="16">
        <f>IF(ISNONTEXT('Sektorski plasman'!D28)=TRUE,"",'Sektorski plasman'!D28)</f>
      </c>
      <c r="B23" s="16">
        <f>IF(AND(ISTEXT('Sektorski plasman'!D28)=TRUE,ISNUMBER(F23)=FALSE),"",'Sektorski plasman'!E28)</f>
      </c>
      <c r="C23" s="57">
        <f>IF(ISNUMBER('Sektorski plasman'!C28)=FALSE,"",'Sektorski plasman'!C28)</f>
      </c>
      <c r="D23" s="57">
        <f>IF(ISNUMBER(F23)=FALSE,"","B")</f>
      </c>
      <c r="E23" s="47">
        <f>IF(AND(ISNUMBER('Sektorski plasman'!A28)=TRUE,ISNUMBER(C23)=TRUE),'Sektorski plasman'!A28,"")</f>
      </c>
      <c r="F23" s="57">
        <f>IF(ISNUMBER('Sektorski plasman'!B28)=FALSE,"",'Sektorski plasman'!B28)</f>
      </c>
      <c r="G23" s="56">
        <f t="shared" si="0"/>
      </c>
      <c r="H23" s="56">
        <f>IF(ISNUMBER(G23)=TRUE,VLOOKUP(B23,'Upis rezultata A sektora'!$D$2:$G$13,4,FALSE),"")</f>
      </c>
      <c r="I23" s="61">
        <f t="shared" si="1"/>
      </c>
      <c r="J23">
        <f t="shared" si="2"/>
      </c>
      <c r="K23">
        <f t="shared" si="3"/>
        <v>0</v>
      </c>
    </row>
    <row r="24" spans="1:11" ht="12.75" hidden="1">
      <c r="A24" s="16">
        <f>IF(ISNONTEXT('Sektorski plasman'!D45)=TRUE,"",'Sektorski plasman'!D45)</f>
      </c>
      <c r="B24" s="16">
        <f>IF(AND(ISTEXT('Sektorski plasman'!D45)=TRUE,ISNUMBER(F24)=FALSE),"",'Sektorski plasman'!E45)</f>
      </c>
      <c r="C24" s="57">
        <f>IF(ISNUMBER('Sektorski plasman'!C45)=FALSE,"",'Sektorski plasman'!C45)</f>
      </c>
      <c r="D24" s="57">
        <f>IF(ISNUMBER(F24)=FALSE,"","C")</f>
      </c>
      <c r="E24" s="47">
        <f>IF(AND(ISNUMBER('Sektorski plasman'!A45)=TRUE,ISNUMBER(C24)=TRUE),'Sektorski plasman'!A45,"")</f>
      </c>
      <c r="F24" s="57">
        <f>IF(ISNUMBER('Sektorski plasman'!B45)=FALSE,"",'Sektorski plasman'!B45)</f>
      </c>
      <c r="G24" s="56">
        <f t="shared" si="0"/>
      </c>
      <c r="H24" s="56">
        <f>IF(ISNUMBER(G24)=TRUE,VLOOKUP(B24,'Upis rezultata A sektora'!$D$2:$G$13,4,FALSE),"")</f>
      </c>
      <c r="I24" s="61">
        <f t="shared" si="1"/>
      </c>
      <c r="J24">
        <f t="shared" si="2"/>
      </c>
      <c r="K24">
        <f t="shared" si="3"/>
        <v>0</v>
      </c>
    </row>
    <row r="25" spans="1:11" ht="12.75" hidden="1">
      <c r="A25" s="16">
        <f>IF(ISNONTEXT('Sektorski plasman'!D64)=TRUE,"",'Sektorski plasman'!D64)</f>
      </c>
      <c r="B25" s="16">
        <f>IF(AND(ISTEXT('Sektorski plasman'!D64)=TRUE,ISNUMBER(F25)=FALSE),"",'Sektorski plasman'!E64)</f>
      </c>
      <c r="C25" s="57">
        <f>IF(ISNUMBER('Sektorski plasman'!C64)=FALSE,"",'Sektorski plasman'!C64)</f>
      </c>
      <c r="D25" s="57">
        <f>IF(ISNUMBER(F25)=FALSE,"","D")</f>
      </c>
      <c r="E25" s="47">
        <f>IF(AND(ISNUMBER('Sektorski plasman'!A64)=TRUE,ISNUMBER(C25)=TRUE),'Sektorski plasman'!A64,"")</f>
      </c>
      <c r="F25" s="57">
        <f>IF(ISNUMBER('Sektorski plasman'!B64)=FALSE,"",'Sektorski plasman'!B64)</f>
      </c>
      <c r="G25" s="56">
        <f t="shared" si="0"/>
      </c>
      <c r="H25" s="56">
        <f>IF(ISNUMBER(G25)=TRUE,VLOOKUP(B25,'Upis rezultata A sektora'!$D$2:$G$13,4,FALSE),"")</f>
      </c>
      <c r="I25" s="61">
        <f t="shared" si="1"/>
      </c>
      <c r="J25">
        <f t="shared" si="2"/>
      </c>
      <c r="K25">
        <f t="shared" si="3"/>
        <v>0</v>
      </c>
    </row>
    <row r="26" spans="1:11" ht="12.75" hidden="1">
      <c r="A26" s="16">
        <f>IF(ISNONTEXT('Sektorski plasman'!D29)=TRUE,"",'Sektorski plasman'!D29)</f>
      </c>
      <c r="B26" s="16">
        <f>IF(AND(ISTEXT('Sektorski plasman'!D29)=TRUE,ISNUMBER(F26)=FALSE),"",'Sektorski plasman'!E29)</f>
      </c>
      <c r="C26" s="57">
        <f>IF(ISNUMBER('Sektorski plasman'!C29)=FALSE,"",'Sektorski plasman'!C29)</f>
      </c>
      <c r="D26" s="57">
        <f>IF(ISNUMBER(F26)=FALSE,"","B")</f>
      </c>
      <c r="E26" s="47">
        <f>IF(AND(ISNUMBER('Sektorski plasman'!A29)=TRUE,ISNUMBER(C26)=TRUE),'Sektorski plasman'!A29,"")</f>
      </c>
      <c r="F26" s="57">
        <f>IF(ISNUMBER('Sektorski plasman'!B29)=FALSE,"",'Sektorski plasman'!B29)</f>
      </c>
      <c r="G26" s="56">
        <f t="shared" si="0"/>
      </c>
      <c r="H26" s="56">
        <f>IF(ISNUMBER(G26)=TRUE,VLOOKUP(B26,'Upis rezultata A sektora'!$D$2:$G$13,4,FALSE),"")</f>
      </c>
      <c r="I26" s="61">
        <f t="shared" si="1"/>
      </c>
      <c r="J26">
        <f t="shared" si="2"/>
      </c>
      <c r="K26">
        <f t="shared" si="3"/>
        <v>0</v>
      </c>
    </row>
    <row r="27" spans="1:11" ht="12.75" hidden="1">
      <c r="A27" s="16">
        <f>IF(ISNONTEXT('Sektorski plasman'!D12)=TRUE,"",'Sektorski plasman'!D12)</f>
      </c>
      <c r="B27" s="16">
        <f>IF(AND(ISTEXT('Sektorski plasman'!D12)=TRUE,ISNUMBER(F27)=FALSE),"",'Sektorski plasman'!E12)</f>
      </c>
      <c r="C27" s="57">
        <f>IF(ISNUMBER('Sektorski plasman'!C12)=FALSE,"",'Sektorski plasman'!C12)</f>
      </c>
      <c r="D27" s="57">
        <f>IF(ISNUMBER(F27)=FALSE,"","A")</f>
      </c>
      <c r="E27" s="47">
        <f>IF(AND(ISNUMBER('Sektorski plasman'!A12)=TRUE,ISNUMBER(C27)=TRUE),'Sektorski plasman'!A12,"")</f>
      </c>
      <c r="F27" s="57">
        <f>IF(ISNUMBER('Sektorski plasman'!B12)=FALSE,"",'Sektorski plasman'!B12)</f>
      </c>
      <c r="G27" s="56">
        <f t="shared" si="0"/>
      </c>
      <c r="H27" s="56">
        <f>IF(ISNUMBER(G27)=TRUE,VLOOKUP(B27,'Upis rezultata A sektora'!$D$2:$G$13,4,FALSE),"")</f>
      </c>
      <c r="I27" s="61">
        <f t="shared" si="1"/>
      </c>
      <c r="J27">
        <f t="shared" si="2"/>
      </c>
      <c r="K27">
        <f t="shared" si="3"/>
        <v>0</v>
      </c>
    </row>
    <row r="28" spans="1:11" ht="12.75" hidden="1">
      <c r="A28" s="16">
        <f>IF(ISNONTEXT('Sektorski plasman'!D46)=TRUE,"",'Sektorski plasman'!D46)</f>
      </c>
      <c r="B28" s="16">
        <f>IF(AND(ISTEXT('Sektorski plasman'!D46)=TRUE,ISNUMBER(F28)=FALSE),"",'Sektorski plasman'!E46)</f>
      </c>
      <c r="C28" s="57">
        <f>IF(ISNUMBER('Sektorski plasman'!C46)=FALSE,"",'Sektorski plasman'!C46)</f>
      </c>
      <c r="D28" s="57">
        <f>IF(ISNUMBER(F28)=FALSE,"","C")</f>
      </c>
      <c r="E28" s="47">
        <f>IF(AND(ISNUMBER('Sektorski plasman'!A46)=TRUE,ISNUMBER(C28)=TRUE),'Sektorski plasman'!A46,"")</f>
      </c>
      <c r="F28" s="57">
        <f>IF(ISNUMBER('Sektorski plasman'!B46)=FALSE,"",'Sektorski plasman'!B46)</f>
      </c>
      <c r="G28" s="56">
        <f t="shared" si="0"/>
      </c>
      <c r="H28" s="56">
        <f>IF(ISNUMBER(G28)=TRUE,VLOOKUP(B28,'Upis rezultata A sektora'!$D$2:$G$13,4,FALSE),"")</f>
      </c>
      <c r="I28" s="61">
        <f t="shared" si="1"/>
      </c>
      <c r="J28">
        <f t="shared" si="2"/>
      </c>
      <c r="K28">
        <f t="shared" si="3"/>
        <v>0</v>
      </c>
    </row>
    <row r="29" spans="1:11" ht="12.75" hidden="1">
      <c r="A29" s="16">
        <f>IF(ISNONTEXT('Sektorski plasman'!D82)=TRUE,"",'Sektorski plasman'!D82)</f>
      </c>
      <c r="B29" s="16">
        <f>IF(AND(ISTEXT('Sektorski plasman'!D82)=TRUE,ISNUMBER(F29)=FALSE),"",'Sektorski plasman'!E82)</f>
      </c>
      <c r="C29" s="57">
        <f>IF(ISNUMBER('Sektorski plasman'!C82)=FALSE,"",'Sektorski plasman'!C82)</f>
      </c>
      <c r="D29" s="57">
        <f>IF(ISNUMBER(F29)=FALSE,"","E")</f>
      </c>
      <c r="E29" s="47">
        <f>IF(AND(ISNUMBER('Sektorski plasman'!A82)=TRUE,ISNUMBER(C29)=TRUE),'Sektorski plasman'!A82,"")</f>
      </c>
      <c r="F29" s="57">
        <f>IF(ISNUMBER('Sektorski plasman'!B82)=FALSE,"",'Sektorski plasman'!B82)</f>
      </c>
      <c r="G29" s="56">
        <f t="shared" si="0"/>
      </c>
      <c r="H29" s="56">
        <f>IF(ISNUMBER(G29)=TRUE,VLOOKUP(B29,'Upis rezultata A sektora'!$D$2:$G$13,4,FALSE),"")</f>
      </c>
      <c r="I29" s="61">
        <f t="shared" si="1"/>
      </c>
      <c r="J29">
        <f t="shared" si="2"/>
      </c>
      <c r="K29">
        <f t="shared" si="3"/>
        <v>0</v>
      </c>
    </row>
    <row r="30" spans="1:11" ht="12.75" hidden="1">
      <c r="A30" s="16">
        <f>IF(ISNONTEXT('Sektorski plasman'!D65)=TRUE,"",'Sektorski plasman'!D65)</f>
      </c>
      <c r="B30" s="16">
        <f>IF(AND(ISTEXT('Sektorski plasman'!D65)=TRUE,ISNUMBER(F30)=FALSE),"",'Sektorski plasman'!E65)</f>
      </c>
      <c r="C30" s="57">
        <f>IF(ISNUMBER('Sektorski plasman'!C65)=FALSE,"",'Sektorski plasman'!C65)</f>
      </c>
      <c r="D30" s="57">
        <f>IF(ISNUMBER(F30)=FALSE,"","D")</f>
      </c>
      <c r="E30" s="47">
        <f>IF(AND(ISNUMBER('Sektorski plasman'!A65)=TRUE,ISNUMBER(C30)=TRUE),'Sektorski plasman'!A65,"")</f>
      </c>
      <c r="F30" s="57">
        <f>IF(ISNUMBER('Sektorski plasman'!B65)=FALSE,"",'Sektorski plasman'!B65)</f>
      </c>
      <c r="G30" s="56">
        <f t="shared" si="0"/>
      </c>
      <c r="H30" s="56">
        <f>IF(ISNUMBER(G30)=TRUE,VLOOKUP(B30,'Upis rezultata A sektora'!$D$2:$G$13,4,FALSE),"")</f>
      </c>
      <c r="I30" s="61">
        <f t="shared" si="1"/>
      </c>
      <c r="J30">
        <f t="shared" si="2"/>
      </c>
      <c r="K30">
        <f t="shared" si="3"/>
        <v>0</v>
      </c>
    </row>
    <row r="31" spans="1:11" ht="12.75" hidden="1">
      <c r="A31" s="16">
        <f>IF(ISNONTEXT('Sektorski plasman'!D66)=TRUE,"",'Sektorski plasman'!D66)</f>
      </c>
      <c r="B31" s="16">
        <f>IF(AND(ISTEXT('Sektorski plasman'!D66)=TRUE,ISNUMBER(F31)=FALSE),"",'Sektorski plasman'!E66)</f>
      </c>
      <c r="C31" s="57">
        <f>IF(ISNUMBER('Sektorski plasman'!C66)=FALSE,"",'Sektorski plasman'!C66)</f>
      </c>
      <c r="D31" s="57">
        <f>IF(ISNUMBER(F31)=FALSE,"","D")</f>
      </c>
      <c r="E31" s="47">
        <f>IF(AND(ISNUMBER('Sektorski plasman'!A66)=TRUE,ISNUMBER(C31)=TRUE),'Sektorski plasman'!A66,"")</f>
      </c>
      <c r="F31" s="57">
        <f>IF(ISNUMBER('Sektorski plasman'!B66)=FALSE,"",'Sektorski plasman'!B66)</f>
      </c>
      <c r="G31" s="56">
        <f t="shared" si="0"/>
      </c>
      <c r="H31" s="56">
        <f>IF(ISNUMBER(G31)=TRUE,VLOOKUP(B31,'Upis rezultata A sektora'!$D$2:$G$13,4,FALSE),"")</f>
      </c>
      <c r="I31" s="61">
        <f t="shared" si="1"/>
      </c>
      <c r="J31">
        <f t="shared" si="2"/>
      </c>
      <c r="K31">
        <f t="shared" si="3"/>
        <v>0</v>
      </c>
    </row>
    <row r="32" spans="1:11" ht="12.75" hidden="1">
      <c r="A32" s="16">
        <f>IF(ISNONTEXT('Sektorski plasman'!D30)=TRUE,"",'Sektorski plasman'!D30)</f>
      </c>
      <c r="B32" s="16">
        <f>IF(AND(ISTEXT('Sektorski plasman'!D30)=TRUE,ISNUMBER(F32)=FALSE),"",'Sektorski plasman'!E30)</f>
      </c>
      <c r="C32" s="57">
        <f>IF(ISNUMBER('Sektorski plasman'!C30)=FALSE,"",'Sektorski plasman'!C30)</f>
      </c>
      <c r="D32" s="57">
        <f>IF(ISNUMBER(F32)=FALSE,"","B")</f>
      </c>
      <c r="E32" s="47">
        <f>IF(AND(ISNUMBER('Sektorski plasman'!A30)=TRUE,ISNUMBER(C32)=TRUE),'Sektorski plasman'!A30,"")</f>
      </c>
      <c r="F32" s="57">
        <f>IF(ISNUMBER('Sektorski plasman'!B30)=FALSE,"",'Sektorski plasman'!B30)</f>
      </c>
      <c r="G32" s="56">
        <f t="shared" si="0"/>
      </c>
      <c r="H32" s="56">
        <f>IF(ISNUMBER(G32)=TRUE,VLOOKUP(B32,'Upis rezultata A sektora'!$D$2:$G$13,4,FALSE),"")</f>
      </c>
      <c r="I32" s="61">
        <f t="shared" si="1"/>
      </c>
      <c r="J32">
        <f t="shared" si="2"/>
      </c>
      <c r="K32">
        <f t="shared" si="3"/>
        <v>0</v>
      </c>
    </row>
    <row r="33" spans="1:11" ht="12.75" hidden="1">
      <c r="A33" s="16">
        <f>IF(ISNONTEXT('Sektorski plasman'!D13)=TRUE,"",'Sektorski plasman'!D13)</f>
      </c>
      <c r="B33" s="16">
        <f>IF(AND(ISTEXT('Sektorski plasman'!D13)=TRUE,ISNUMBER(F33)=FALSE),"",'Sektorski plasman'!E13)</f>
      </c>
      <c r="C33" s="57">
        <f>IF(ISNUMBER('Sektorski plasman'!C13)=FALSE,"",'Sektorski plasman'!C13)</f>
      </c>
      <c r="D33" s="57">
        <f>IF(ISNUMBER(F33)=FALSE,"","A")</f>
      </c>
      <c r="E33" s="47">
        <f>IF(AND(ISNUMBER('Sektorski plasman'!A13)=TRUE,ISNUMBER(C33)=TRUE),'Sektorski plasman'!A13,"")</f>
      </c>
      <c r="F33" s="57">
        <f>IF(ISNUMBER('Sektorski plasman'!B13)=FALSE,"",'Sektorski plasman'!B13)</f>
      </c>
      <c r="G33" s="56">
        <f t="shared" si="0"/>
      </c>
      <c r="H33" s="56">
        <f>IF(ISNUMBER(G33)=TRUE,VLOOKUP(B33,'Upis rezultata A sektora'!$D$2:$G$13,4,FALSE),"")</f>
      </c>
      <c r="I33" s="61">
        <f t="shared" si="1"/>
      </c>
      <c r="J33">
        <f t="shared" si="2"/>
      </c>
      <c r="K33">
        <f t="shared" si="3"/>
        <v>0</v>
      </c>
    </row>
    <row r="34" spans="1:11" ht="12.75" hidden="1">
      <c r="A34" s="16">
        <f>IF(ISNONTEXT('Sektorski plasman'!D83)=TRUE,"",'Sektorski plasman'!D83)</f>
      </c>
      <c r="B34" s="16">
        <f>IF(AND(ISTEXT('Sektorski plasman'!D83)=TRUE,ISNUMBER(F34)=FALSE),"",'Sektorski plasman'!E83)</f>
      </c>
      <c r="C34" s="57">
        <f>IF(ISNUMBER('Sektorski plasman'!C83)=FALSE,"",'Sektorski plasman'!C83)</f>
      </c>
      <c r="D34" s="57">
        <f>IF(ISNUMBER(F34)=FALSE,"","E")</f>
      </c>
      <c r="E34" s="47">
        <f>IF(AND(ISNUMBER('Sektorski plasman'!A83)=TRUE,ISNUMBER(C34)=TRUE),'Sektorski plasman'!A83,"")</f>
      </c>
      <c r="F34" s="57">
        <f>IF(ISNUMBER('Sektorski plasman'!B83)=FALSE,"",'Sektorski plasman'!B83)</f>
      </c>
      <c r="G34" s="56">
        <f t="shared" si="0"/>
      </c>
      <c r="H34" s="56">
        <f>IF(ISNUMBER(G34)=TRUE,VLOOKUP(B34,'Upis rezultata A sektora'!$D$2:$G$13,4,FALSE),"")</f>
      </c>
      <c r="I34" s="61">
        <f t="shared" si="1"/>
      </c>
      <c r="J34">
        <f t="shared" si="2"/>
      </c>
      <c r="K34">
        <f t="shared" si="3"/>
        <v>0</v>
      </c>
    </row>
    <row r="35" spans="1:11" ht="12.75" hidden="1">
      <c r="A35" s="16">
        <f>IF(ISNONTEXT('Sektorski plasman'!D47)=TRUE,"",'Sektorski plasman'!D47)</f>
      </c>
      <c r="B35" s="16">
        <f>IF(AND(ISTEXT('Sektorski plasman'!D47)=TRUE,ISNUMBER(F35)=FALSE),"",'Sektorski plasman'!E47)</f>
      </c>
      <c r="C35" s="57">
        <f>IF(ISNUMBER('Sektorski plasman'!C47)=FALSE,"",'Sektorski plasman'!C47)</f>
      </c>
      <c r="D35" s="57">
        <f>IF(ISNUMBER(F35)=FALSE,"","C")</f>
      </c>
      <c r="E35" s="47">
        <f>IF(AND(ISNUMBER('Sektorski plasman'!A47)=TRUE,ISNUMBER(C35)=TRUE),'Sektorski plasman'!A47,"")</f>
      </c>
      <c r="F35" s="57">
        <f>IF(ISNUMBER('Sektorski plasman'!B47)=FALSE,"",'Sektorski plasman'!B47)</f>
      </c>
      <c r="G35" s="56">
        <f t="shared" si="0"/>
      </c>
      <c r="H35" s="56">
        <f>IF(ISNUMBER(G35)=TRUE,VLOOKUP(B35,'Upis rezultata A sektora'!$D$2:$G$13,4,FALSE),"")</f>
      </c>
      <c r="I35" s="61">
        <f t="shared" si="1"/>
      </c>
      <c r="J35">
        <f t="shared" si="2"/>
      </c>
      <c r="K35">
        <f t="shared" si="3"/>
        <v>0</v>
      </c>
    </row>
    <row r="36" spans="1:11" ht="12.75" hidden="1">
      <c r="A36" s="16">
        <f>IF(ISNONTEXT('Sektorski plasman'!D48)=TRUE,"",'Sektorski plasman'!D48)</f>
      </c>
      <c r="B36" s="16">
        <f>IF(AND(ISTEXT('Sektorski plasman'!D48)=TRUE,ISNUMBER(F36)=FALSE),"",'Sektorski plasman'!E48)</f>
      </c>
      <c r="C36" s="57">
        <f>IF(ISNUMBER('Sektorski plasman'!C48)=FALSE,"",'Sektorski plasman'!C48)</f>
      </c>
      <c r="D36" s="57">
        <f>IF(ISNUMBER(F36)=FALSE,"","C")</f>
      </c>
      <c r="E36" s="47">
        <f>IF(AND(ISNUMBER('Sektorski plasman'!A48)=TRUE,ISNUMBER(C36)=TRUE),'Sektorski plasman'!A48,"")</f>
      </c>
      <c r="F36" s="57">
        <f>IF(ISNUMBER('Sektorski plasman'!B48)=FALSE,"",'Sektorski plasman'!B48)</f>
      </c>
      <c r="G36" s="56">
        <f t="shared" si="0"/>
      </c>
      <c r="H36" s="56">
        <f>IF(ISNUMBER(G36)=TRUE,VLOOKUP(B36,'Upis rezultata A sektora'!$D$2:$G$13,4,FALSE),"")</f>
      </c>
      <c r="I36" s="61">
        <f t="shared" si="1"/>
      </c>
      <c r="J36">
        <f t="shared" si="2"/>
      </c>
      <c r="K36">
        <f t="shared" si="3"/>
        <v>0</v>
      </c>
    </row>
    <row r="37" spans="1:11" ht="12.75" hidden="1">
      <c r="A37" s="16">
        <f>IF(ISNONTEXT('Sektorski plasman'!D31)=TRUE,"",'Sektorski plasman'!D31)</f>
      </c>
      <c r="B37" s="16">
        <f>IF(AND(ISTEXT('Sektorski plasman'!D31)=TRUE,ISNUMBER(F37)=FALSE),"",'Sektorski plasman'!E31)</f>
      </c>
      <c r="C37" s="57">
        <f>IF(ISNUMBER('Sektorski plasman'!C31)=FALSE,"",'Sektorski plasman'!C31)</f>
      </c>
      <c r="D37" s="57">
        <f>IF(ISNUMBER(F37)=FALSE,"","B")</f>
      </c>
      <c r="E37" s="47">
        <f>IF(AND(ISNUMBER('Sektorski plasman'!A31)=TRUE,ISNUMBER(C37)=TRUE),'Sektorski plasman'!A31,"")</f>
      </c>
      <c r="F37" s="57">
        <f>IF(ISNUMBER('Sektorski plasman'!B31)=FALSE,"",'Sektorski plasman'!B31)</f>
      </c>
      <c r="G37" s="56">
        <f t="shared" si="0"/>
      </c>
      <c r="H37" s="56">
        <f>IF(ISNUMBER(G37)=TRUE,VLOOKUP(B37,'Upis rezultata A sektora'!$D$2:$G$13,4,FALSE),"")</f>
      </c>
      <c r="I37" s="61">
        <f t="shared" si="1"/>
      </c>
      <c r="J37">
        <f t="shared" si="2"/>
      </c>
      <c r="K37">
        <f t="shared" si="3"/>
        <v>0</v>
      </c>
    </row>
    <row r="38" spans="1:11" ht="12.75" hidden="1">
      <c r="A38" s="16">
        <f>IF(ISNONTEXT('Sektorski plasman'!D14)=TRUE,"",'Sektorski plasman'!D14)</f>
      </c>
      <c r="B38" s="16">
        <f>IF(AND(ISTEXT('Sektorski plasman'!D14)=TRUE,ISNUMBER(F38)=FALSE),"",'Sektorski plasman'!E14)</f>
      </c>
      <c r="C38" s="57">
        <f>IF(ISNUMBER('Sektorski plasman'!C14)=FALSE,"",'Sektorski plasman'!C14)</f>
      </c>
      <c r="D38" s="57">
        <f>IF(ISNUMBER(F38)=FALSE,"","A")</f>
      </c>
      <c r="E38" s="47">
        <f>IF(AND(ISNUMBER('Sektorski plasman'!A14)=TRUE,ISNUMBER(C38)=TRUE),'Sektorski plasman'!A14,"")</f>
      </c>
      <c r="F38" s="57">
        <f>IF(ISNUMBER('Sektorski plasman'!B14)=FALSE,"",'Sektorski plasman'!B14)</f>
      </c>
      <c r="G38" s="56">
        <f aca="true" t="shared" si="4" ref="G38:G69">IF(AND(ISNUMBER(E38)=TRUE,ISNUMBER(F38)=TRUE),I38,"")</f>
      </c>
      <c r="H38" s="56">
        <f>IF(ISNUMBER(G38)=TRUE,VLOOKUP(B38,'Upis rezultata A sektora'!$D$2:$G$13,4,FALSE),"")</f>
      </c>
      <c r="I38" s="61">
        <f aca="true" t="shared" si="5" ref="I38:I69">IF(ISNUMBER(E38)=FALSE,"",RANK(J38,$J$6:$J$65,1))</f>
      </c>
      <c r="J38">
        <f aca="true" t="shared" si="6" ref="J38:J69">IF(ISNUMBER(E38)=FALSE,"",E38-K38/100000)</f>
      </c>
      <c r="K38">
        <f aca="true" t="shared" si="7" ref="K38:K65">IF(ISNUMBER(F38)=FALSE,0,F38)</f>
        <v>0</v>
      </c>
    </row>
    <row r="39" spans="1:11" ht="12.75" hidden="1">
      <c r="A39" s="16">
        <f>IF(ISNONTEXT('Sektorski plasman'!D67)=TRUE,"",'Sektorski plasman'!D67)</f>
      </c>
      <c r="B39" s="16">
        <f>IF(AND(ISTEXT('Sektorski plasman'!D67)=TRUE,ISNUMBER(F39)=FALSE),"",'Sektorski plasman'!E67)</f>
      </c>
      <c r="C39" s="57">
        <f>IF(ISNUMBER('Sektorski plasman'!C67)=FALSE,"",'Sektorski plasman'!C67)</f>
      </c>
      <c r="D39" s="57">
        <f>IF(ISNUMBER(F39)=FALSE,"","D")</f>
      </c>
      <c r="E39" s="47">
        <f>IF(AND(ISNUMBER('Sektorski plasman'!A67)=TRUE,ISNUMBER(C39)=TRUE),'Sektorski plasman'!A67,"")</f>
      </c>
      <c r="F39" s="57">
        <f>IF(ISNUMBER('Sektorski plasman'!B67)=FALSE,"",'Sektorski plasman'!B67)</f>
      </c>
      <c r="G39" s="56">
        <f t="shared" si="4"/>
      </c>
      <c r="H39" s="56">
        <f>IF(ISNUMBER(G39)=TRUE,VLOOKUP(B39,'Upis rezultata A sektora'!$D$2:$G$13,4,FALSE),"")</f>
      </c>
      <c r="I39" s="61">
        <f t="shared" si="5"/>
      </c>
      <c r="J39">
        <f t="shared" si="6"/>
      </c>
      <c r="K39">
        <f t="shared" si="7"/>
        <v>0</v>
      </c>
    </row>
    <row r="40" spans="1:11" ht="12.75" hidden="1">
      <c r="A40" s="16">
        <f>IF(ISNONTEXT('Sektorski plasman'!D84)=TRUE,"",'Sektorski plasman'!D84)</f>
      </c>
      <c r="B40" s="16">
        <f>IF(AND(ISTEXT('Sektorski plasman'!D84)=TRUE,ISNUMBER(F40)=FALSE),"",'Sektorski plasman'!E84)</f>
      </c>
      <c r="C40" s="57">
        <f>IF(ISNUMBER('Sektorski plasman'!C84)=FALSE,"",'Sektorski plasman'!C84)</f>
      </c>
      <c r="D40" s="57">
        <f>IF(ISNUMBER(F40)=FALSE,"","E")</f>
      </c>
      <c r="E40" s="47">
        <f>IF(AND(ISNUMBER('Sektorski plasman'!A84)=TRUE,ISNUMBER(C40)=TRUE),'Sektorski plasman'!A84,"")</f>
      </c>
      <c r="F40" s="57">
        <f>IF(ISNUMBER('Sektorski plasman'!B84)=FALSE,"",'Sektorski plasman'!B84)</f>
      </c>
      <c r="G40" s="56">
        <f t="shared" si="4"/>
      </c>
      <c r="H40" s="56">
        <f>IF(ISNUMBER(G40)=TRUE,VLOOKUP(B40,'Upis rezultata A sektora'!$D$2:$G$13,4,FALSE),"")</f>
      </c>
      <c r="I40" s="61">
        <f t="shared" si="5"/>
      </c>
      <c r="J40">
        <f t="shared" si="6"/>
      </c>
      <c r="K40">
        <f t="shared" si="7"/>
        <v>0</v>
      </c>
    </row>
    <row r="41" spans="1:11" ht="12.75" hidden="1">
      <c r="A41" s="16">
        <f>IF(ISNONTEXT('Sektorski plasman'!D15)=TRUE,"",'Sektorski plasman'!D15)</f>
      </c>
      <c r="B41" s="16">
        <f>IF(AND(ISTEXT('Sektorski plasman'!D15)=TRUE,ISNUMBER(F41)=FALSE),"",'Sektorski plasman'!E15)</f>
      </c>
      <c r="C41" s="57">
        <f>IF(ISNUMBER('Sektorski plasman'!C15)=FALSE,"",'Sektorski plasman'!C15)</f>
      </c>
      <c r="D41" s="57">
        <f>IF(ISNUMBER(F41)=FALSE,"","A")</f>
      </c>
      <c r="E41" s="47">
        <f>IF(AND(ISNUMBER('Sektorski plasman'!A15)=TRUE,ISNUMBER(C41)=TRUE),'Sektorski plasman'!A15,"")</f>
      </c>
      <c r="F41" s="57">
        <f>IF(ISNUMBER('Sektorski plasman'!B15)=FALSE,"",'Sektorski plasman'!B15)</f>
      </c>
      <c r="G41" s="56">
        <f t="shared" si="4"/>
      </c>
      <c r="H41" s="56">
        <f>IF(ISNUMBER(G41)=TRUE,VLOOKUP(B41,'Upis rezultata A sektora'!$D$2:$G$13,4,FALSE),"")</f>
      </c>
      <c r="I41" s="61">
        <f t="shared" si="5"/>
      </c>
      <c r="J41">
        <f t="shared" si="6"/>
      </c>
      <c r="K41">
        <f t="shared" si="7"/>
        <v>0</v>
      </c>
    </row>
    <row r="42" spans="1:11" ht="12.75" hidden="1">
      <c r="A42" s="16">
        <f>IF(ISNONTEXT('Sektorski plasman'!D68)=TRUE,"",'Sektorski plasman'!D68)</f>
      </c>
      <c r="B42" s="16">
        <f>IF(AND(ISTEXT('Sektorski plasman'!D68)=TRUE,ISNUMBER(F42)=FALSE),"",'Sektorski plasman'!E68)</f>
      </c>
      <c r="C42" s="57">
        <f>IF(ISNUMBER('Sektorski plasman'!C68)=FALSE,"",'Sektorski plasman'!C68)</f>
      </c>
      <c r="D42" s="57">
        <f>IF(ISNUMBER(F42)=FALSE,"","D")</f>
      </c>
      <c r="E42" s="47">
        <f>IF(AND(ISNUMBER('Sektorski plasman'!A68)=TRUE,ISNUMBER(C42)=TRUE),'Sektorski plasman'!A68,"")</f>
      </c>
      <c r="F42" s="57">
        <f>IF(ISNUMBER('Sektorski plasman'!B68)=FALSE,"",'Sektorski plasman'!B68)</f>
      </c>
      <c r="G42" s="56">
        <f t="shared" si="4"/>
      </c>
      <c r="H42" s="56">
        <f>IF(ISNUMBER(G42)=TRUE,VLOOKUP(B42,'Upis rezultata A sektora'!$D$2:$G$13,4,FALSE),"")</f>
      </c>
      <c r="I42" s="61">
        <f t="shared" si="5"/>
      </c>
      <c r="J42">
        <f t="shared" si="6"/>
      </c>
      <c r="K42">
        <f t="shared" si="7"/>
        <v>0</v>
      </c>
    </row>
    <row r="43" spans="1:11" ht="12.75" hidden="1">
      <c r="A43" s="16">
        <f>IF(ISNONTEXT('Sektorski plasman'!D49)=TRUE,"",'Sektorski plasman'!D49)</f>
      </c>
      <c r="B43" s="16">
        <f>IF(AND(ISTEXT('Sektorski plasman'!D49)=TRUE,ISNUMBER(F43)=FALSE),"",'Sektorski plasman'!E49)</f>
      </c>
      <c r="C43" s="57">
        <f>IF(ISNUMBER('Sektorski plasman'!C49)=FALSE,"",'Sektorski plasman'!C49)</f>
      </c>
      <c r="D43" s="57">
        <f>IF(ISNUMBER(F43)=FALSE,"","C")</f>
      </c>
      <c r="E43" s="47">
        <f>IF(AND(ISNUMBER('Sektorski plasman'!A49)=TRUE,ISNUMBER(C43)=TRUE),'Sektorski plasman'!A49,"")</f>
      </c>
      <c r="F43" s="57">
        <f>IF(ISNUMBER('Sektorski plasman'!B49)=FALSE,"",'Sektorski plasman'!B49)</f>
      </c>
      <c r="G43" s="56">
        <f t="shared" si="4"/>
      </c>
      <c r="H43" s="56">
        <f>IF(ISNUMBER(G43)=TRUE,VLOOKUP(B43,'Upis rezultata A sektora'!$D$2:$G$13,4,FALSE),"")</f>
      </c>
      <c r="I43" s="61">
        <f t="shared" si="5"/>
      </c>
      <c r="J43">
        <f t="shared" si="6"/>
      </c>
      <c r="K43">
        <f t="shared" si="7"/>
        <v>0</v>
      </c>
    </row>
    <row r="44" spans="1:11" ht="12.75" hidden="1">
      <c r="A44" s="16">
        <f>IF(ISNONTEXT('Sektorski plasman'!D32)=TRUE,"",'Sektorski plasman'!D32)</f>
      </c>
      <c r="B44" s="16">
        <f>IF(AND(ISTEXT('Sektorski plasman'!D32)=TRUE,ISNUMBER(F44)=FALSE),"",'Sektorski plasman'!E32)</f>
      </c>
      <c r="C44" s="57">
        <f>IF(ISNUMBER('Sektorski plasman'!C32)=FALSE,"",'Sektorski plasman'!C32)</f>
      </c>
      <c r="D44" s="57">
        <f>IF(ISNUMBER(F44)=FALSE,"","B")</f>
      </c>
      <c r="E44" s="47">
        <f>IF(AND(ISNUMBER('Sektorski plasman'!A32)=TRUE,ISNUMBER(C44)=TRUE),'Sektorski plasman'!A32,"")</f>
      </c>
      <c r="F44" s="57">
        <f>IF(ISNUMBER('Sektorski plasman'!B32)=FALSE,"",'Sektorski plasman'!B32)</f>
      </c>
      <c r="G44" s="56">
        <f t="shared" si="4"/>
      </c>
      <c r="H44" s="56">
        <f>IF(ISNUMBER(G44)=TRUE,VLOOKUP(B44,'Upis rezultata A sektora'!$D$2:$G$13,4,FALSE),"")</f>
      </c>
      <c r="I44" s="61">
        <f t="shared" si="5"/>
      </c>
      <c r="J44">
        <f t="shared" si="6"/>
      </c>
      <c r="K44">
        <f t="shared" si="7"/>
        <v>0</v>
      </c>
    </row>
    <row r="45" spans="1:11" ht="12.75" hidden="1">
      <c r="A45" s="16">
        <f>IF(ISNONTEXT('Sektorski plasman'!D33)=TRUE,"",'Sektorski plasman'!D33)</f>
      </c>
      <c r="B45" s="16">
        <f>IF(AND(ISTEXT('Sektorski plasman'!D33)=TRUE,ISNUMBER(F45)=FALSE),"",'Sektorski plasman'!E33)</f>
      </c>
      <c r="C45" s="57">
        <f>IF(ISNUMBER('Sektorski plasman'!C33)=FALSE,"",'Sektorski plasman'!C33)</f>
      </c>
      <c r="D45" s="57">
        <f>IF(ISNUMBER(F45)=FALSE,"","B")</f>
      </c>
      <c r="E45" s="47">
        <f>IF(AND(ISNUMBER('Sektorski plasman'!A33)=TRUE,ISNUMBER(C45)=TRUE),'Sektorski plasman'!A33,"")</f>
      </c>
      <c r="F45" s="57">
        <f>IF(ISNUMBER('Sektorski plasman'!B33)=FALSE,"",'Sektorski plasman'!B33)</f>
      </c>
      <c r="G45" s="56">
        <f t="shared" si="4"/>
      </c>
      <c r="H45" s="56">
        <f>IF(ISNUMBER(G45)=TRUE,VLOOKUP(B45,'Upis rezultata A sektora'!$D$2:$G$13,4,FALSE),"")</f>
      </c>
      <c r="I45" s="61">
        <f t="shared" si="5"/>
      </c>
      <c r="J45">
        <f t="shared" si="6"/>
      </c>
      <c r="K45">
        <f t="shared" si="7"/>
        <v>0</v>
      </c>
    </row>
    <row r="46" spans="1:11" ht="12.75" hidden="1">
      <c r="A46" s="16">
        <f>IF(ISNONTEXT('Sektorski plasman'!D85)=TRUE,"",'Sektorski plasman'!D85)</f>
      </c>
      <c r="B46" s="16">
        <f>IF(AND(ISTEXT('Sektorski plasman'!D85)=TRUE,ISNUMBER(F46)=FALSE),"",'Sektorski plasman'!E85)</f>
      </c>
      <c r="C46" s="57">
        <f>IF(ISNUMBER('Sektorski plasman'!C85)=FALSE,"",'Sektorski plasman'!C85)</f>
      </c>
      <c r="D46" s="57">
        <f>IF(ISNUMBER(F46)=FALSE,"","E")</f>
      </c>
      <c r="E46" s="47">
        <f>IF(AND(ISNUMBER('Sektorski plasman'!A85)=TRUE,ISNUMBER(C46)=TRUE),'Sektorski plasman'!A85,"")</f>
      </c>
      <c r="F46" s="57">
        <f>IF(ISNUMBER('Sektorski plasman'!B85)=FALSE,"",'Sektorski plasman'!B85)</f>
      </c>
      <c r="G46" s="56">
        <f t="shared" si="4"/>
      </c>
      <c r="H46" s="56">
        <f>IF(ISNUMBER(G46)=TRUE,VLOOKUP(B46,'Upis rezultata A sektora'!$D$2:$G$13,4,FALSE),"")</f>
      </c>
      <c r="I46" s="61">
        <f t="shared" si="5"/>
      </c>
      <c r="J46">
        <f t="shared" si="6"/>
      </c>
      <c r="K46">
        <f t="shared" si="7"/>
        <v>0</v>
      </c>
    </row>
    <row r="47" spans="1:11" ht="12.75" hidden="1">
      <c r="A47" s="16">
        <f>IF(ISNONTEXT('Sektorski plasman'!D86)=TRUE,"",'Sektorski plasman'!D86)</f>
      </c>
      <c r="B47" s="16">
        <f>IF(AND(ISTEXT('Sektorski plasman'!D86)=TRUE,ISNUMBER(F47)=FALSE),"",'Sektorski plasman'!E86)</f>
      </c>
      <c r="C47" s="57">
        <f>IF(ISNUMBER('Sektorski plasman'!C86)=FALSE,"",'Sektorski plasman'!C86)</f>
      </c>
      <c r="D47" s="57">
        <f>IF(ISNUMBER(F47)=FALSE,"","E")</f>
      </c>
      <c r="E47" s="47">
        <f>IF(AND(ISNUMBER('Sektorski plasman'!A86)=TRUE,ISNUMBER(C47)=TRUE),'Sektorski plasman'!A86,"")</f>
      </c>
      <c r="F47" s="57">
        <f>IF(ISNUMBER('Sektorski plasman'!B86)=FALSE,"",'Sektorski plasman'!B86)</f>
      </c>
      <c r="G47" s="56">
        <f t="shared" si="4"/>
      </c>
      <c r="H47" s="56">
        <f>IF(ISNUMBER(G47)=TRUE,VLOOKUP(B47,'Upis rezultata A sektora'!$D$2:$G$13,4,FALSE),"")</f>
      </c>
      <c r="I47" s="61">
        <f t="shared" si="5"/>
      </c>
      <c r="J47">
        <f t="shared" si="6"/>
      </c>
      <c r="K47">
        <f t="shared" si="7"/>
        <v>0</v>
      </c>
    </row>
    <row r="48" spans="1:11" ht="12.75" hidden="1">
      <c r="A48" s="16">
        <f>IF(ISNONTEXT('Sektorski plasman'!D50)=TRUE,"",'Sektorski plasman'!D50)</f>
      </c>
      <c r="B48" s="16">
        <f>IF(AND(ISTEXT('Sektorski plasman'!D50)=TRUE,ISNUMBER(F48)=FALSE),"",'Sektorski plasman'!E50)</f>
      </c>
      <c r="C48" s="57">
        <f>IF(ISNUMBER('Sektorski plasman'!C50)=FALSE,"",'Sektorski plasman'!C50)</f>
      </c>
      <c r="D48" s="57">
        <f>IF(ISNUMBER(F48)=FALSE,"","C")</f>
      </c>
      <c r="E48" s="47">
        <f>IF(AND(ISNUMBER('Sektorski plasman'!A50)=TRUE,ISNUMBER(C48)=TRUE),'Sektorski plasman'!A50,"")</f>
      </c>
      <c r="F48" s="57">
        <f>IF(ISNUMBER('Sektorski plasman'!B50)=FALSE,"",'Sektorski plasman'!B50)</f>
      </c>
      <c r="G48" s="56">
        <f t="shared" si="4"/>
      </c>
      <c r="H48" s="56">
        <f>IF(ISNUMBER(G48)=TRUE,VLOOKUP(B48,'Upis rezultata A sektora'!$D$2:$G$13,4,FALSE),"")</f>
      </c>
      <c r="I48" s="61">
        <f t="shared" si="5"/>
      </c>
      <c r="J48">
        <f t="shared" si="6"/>
      </c>
      <c r="K48">
        <f t="shared" si="7"/>
        <v>0</v>
      </c>
    </row>
    <row r="49" spans="1:11" ht="12.75" hidden="1">
      <c r="A49" s="16">
        <f>IF(ISNONTEXT('Sektorski plasman'!D69)=TRUE,"",'Sektorski plasman'!D69)</f>
      </c>
      <c r="B49" s="16">
        <f>IF(AND(ISTEXT('Sektorski plasman'!D69)=TRUE,ISNUMBER(F49)=FALSE),"",'Sektorski plasman'!E69)</f>
      </c>
      <c r="C49" s="57">
        <f>IF(ISNUMBER('Sektorski plasman'!C69)=FALSE,"",'Sektorski plasman'!C69)</f>
      </c>
      <c r="D49" s="57">
        <f>IF(ISNUMBER(F49)=FALSE,"","D")</f>
      </c>
      <c r="E49" s="47">
        <f>IF(AND(ISNUMBER('Sektorski plasman'!A69)=TRUE,ISNUMBER(C49)=TRUE),'Sektorski plasman'!A69,"")</f>
      </c>
      <c r="F49" s="57">
        <f>IF(ISNUMBER('Sektorski plasman'!B69)=FALSE,"",'Sektorski plasman'!B69)</f>
      </c>
      <c r="G49" s="56">
        <f t="shared" si="4"/>
      </c>
      <c r="H49" s="56">
        <f>IF(ISNUMBER(G49)=TRUE,VLOOKUP(B49,'Upis rezultata A sektora'!$D$2:$G$13,4,FALSE),"")</f>
      </c>
      <c r="I49" s="61">
        <f t="shared" si="5"/>
      </c>
      <c r="J49">
        <f t="shared" si="6"/>
      </c>
      <c r="K49">
        <f t="shared" si="7"/>
        <v>0</v>
      </c>
    </row>
    <row r="50" spans="1:11" ht="12.75" hidden="1">
      <c r="A50" s="16">
        <f>IF(ISNONTEXT('Sektorski plasman'!D16)=TRUE,"",'Sektorski plasman'!D16)</f>
      </c>
      <c r="B50" s="16">
        <f>IF(AND(ISTEXT('Sektorski plasman'!D16)=TRUE,ISNUMBER(F50)=FALSE),"",'Sektorski plasman'!E16)</f>
      </c>
      <c r="C50" s="57">
        <f>IF(ISNUMBER('Sektorski plasman'!C16)=FALSE,"",'Sektorski plasman'!C16)</f>
      </c>
      <c r="D50" s="57">
        <f>IF(ISNUMBER(F50)=FALSE,"","A")</f>
      </c>
      <c r="E50" s="47">
        <f>IF(AND(ISNUMBER('Sektorski plasman'!A16)=TRUE,ISNUMBER(C50)=TRUE),'Sektorski plasman'!A16,"")</f>
      </c>
      <c r="F50" s="57">
        <f>IF(ISNUMBER('Sektorski plasman'!B16)=FALSE,"",'Sektorski plasman'!B16)</f>
      </c>
      <c r="G50" s="56">
        <f t="shared" si="4"/>
      </c>
      <c r="H50" s="56">
        <f>IF(ISNUMBER(G50)=TRUE,VLOOKUP(B50,'Upis rezultata A sektora'!$D$2:$G$13,4,FALSE),"")</f>
      </c>
      <c r="I50" s="61">
        <f t="shared" si="5"/>
      </c>
      <c r="J50">
        <f t="shared" si="6"/>
      </c>
      <c r="K50">
        <f t="shared" si="7"/>
        <v>0</v>
      </c>
    </row>
    <row r="51" spans="1:11" ht="12.75" hidden="1">
      <c r="A51" s="16">
        <f>IF(ISNONTEXT('Sektorski plasman'!D70)=TRUE,"",'Sektorski plasman'!D70)</f>
      </c>
      <c r="B51" s="16">
        <f>IF(AND(ISTEXT('Sektorski plasman'!D70)=TRUE,ISNUMBER(F51)=FALSE),"",'Sektorski plasman'!E70)</f>
      </c>
      <c r="C51" s="57">
        <f>IF(ISNUMBER('Sektorski plasman'!C70)=FALSE,"",'Sektorski plasman'!C70)</f>
      </c>
      <c r="D51" s="57">
        <f>IF(ISNUMBER(F51)=FALSE,"","D")</f>
      </c>
      <c r="E51" s="47">
        <f>IF(AND(ISNUMBER('Sektorski plasman'!A70)=TRUE,ISNUMBER(C51)=TRUE),'Sektorski plasman'!A70,"")</f>
      </c>
      <c r="F51" s="57">
        <f>IF(ISNUMBER('Sektorski plasman'!B70)=FALSE,"",'Sektorski plasman'!B70)</f>
      </c>
      <c r="G51" s="56">
        <f t="shared" si="4"/>
      </c>
      <c r="H51" s="56">
        <f>IF(ISNUMBER(G51)=TRUE,VLOOKUP(B51,'Upis rezultata A sektora'!$D$2:$G$13,4,FALSE),"")</f>
      </c>
      <c r="I51" s="61">
        <f t="shared" si="5"/>
      </c>
      <c r="J51">
        <f t="shared" si="6"/>
      </c>
      <c r="K51">
        <f t="shared" si="7"/>
        <v>0</v>
      </c>
    </row>
    <row r="52" spans="1:11" ht="12.75" hidden="1">
      <c r="A52" s="16">
        <f>IF(ISNONTEXT('Sektorski plasman'!D51)=TRUE,"",'Sektorski plasman'!D51)</f>
      </c>
      <c r="B52" s="16">
        <f>IF(AND(ISTEXT('Sektorski plasman'!D51)=TRUE,ISNUMBER(F52)=FALSE),"",'Sektorski plasman'!E51)</f>
      </c>
      <c r="C52" s="57">
        <f>IF(ISNUMBER('Sektorski plasman'!C51)=FALSE,"",'Sektorski plasman'!C51)</f>
      </c>
      <c r="D52" s="57">
        <f>IF(ISNUMBER(F52)=FALSE,"","C")</f>
      </c>
      <c r="E52" s="47">
        <f>IF(AND(ISNUMBER('Sektorski plasman'!A51)=TRUE,ISNUMBER(C52)=TRUE),'Sektorski plasman'!A51,"")</f>
      </c>
      <c r="F52" s="57">
        <f>IF(ISNUMBER('Sektorski plasman'!B51)=FALSE,"",'Sektorski plasman'!B51)</f>
      </c>
      <c r="G52" s="56">
        <f t="shared" si="4"/>
      </c>
      <c r="H52" s="56">
        <f>IF(ISNUMBER(G52)=TRUE,VLOOKUP(B52,'Upis rezultata A sektora'!$D$2:$G$13,4,FALSE),"")</f>
      </c>
      <c r="I52" s="61">
        <f t="shared" si="5"/>
      </c>
      <c r="J52">
        <f t="shared" si="6"/>
      </c>
      <c r="K52">
        <f t="shared" si="7"/>
        <v>0</v>
      </c>
    </row>
    <row r="53" spans="1:11" ht="12.75" hidden="1">
      <c r="A53" s="16">
        <f>IF(ISNONTEXT('Sektorski plasman'!D87)=TRUE,"",'Sektorski plasman'!D87)</f>
      </c>
      <c r="B53" s="16">
        <f>IF(AND(ISTEXT('Sektorski plasman'!D87)=TRUE,ISNUMBER(F53)=FALSE),"",'Sektorski plasman'!E87)</f>
      </c>
      <c r="C53" s="57">
        <f>IF(ISNUMBER('Sektorski plasman'!C87)=FALSE,"",'Sektorski plasman'!C87)</f>
      </c>
      <c r="D53" s="57">
        <f>IF(ISNUMBER(F53)=FALSE,"","E")</f>
      </c>
      <c r="E53" s="47">
        <f>IF(AND(ISNUMBER('Sektorski plasman'!A87)=TRUE,ISNUMBER(C53)=TRUE),'Sektorski plasman'!A87,"")</f>
      </c>
      <c r="F53" s="57">
        <f>IF(ISNUMBER('Sektorski plasman'!B87)=FALSE,"",'Sektorski plasman'!B87)</f>
      </c>
      <c r="G53" s="56">
        <f t="shared" si="4"/>
      </c>
      <c r="H53" s="56">
        <f>IF(ISNUMBER(G53)=TRUE,VLOOKUP(B53,'Upis rezultata A sektora'!$D$2:$G$13,4,FALSE),"")</f>
      </c>
      <c r="I53" s="61">
        <f t="shared" si="5"/>
      </c>
      <c r="J53">
        <f t="shared" si="6"/>
      </c>
      <c r="K53">
        <f t="shared" si="7"/>
        <v>0</v>
      </c>
    </row>
    <row r="54" spans="1:11" ht="12.75" hidden="1">
      <c r="A54" s="16">
        <f>IF(ISNONTEXT('Sektorski plasman'!D88)=TRUE,"",'Sektorski plasman'!D88)</f>
      </c>
      <c r="B54" s="16">
        <f>IF(AND(ISTEXT('Sektorski plasman'!D88)=TRUE,ISNUMBER(F54)=FALSE),"",'Sektorski plasman'!E88)</f>
      </c>
      <c r="C54" s="57">
        <f>IF(ISNUMBER('Sektorski plasman'!C88)=FALSE,"",'Sektorski plasman'!C88)</f>
      </c>
      <c r="D54" s="57">
        <f>IF(ISNUMBER(F54)=FALSE,"","E")</f>
      </c>
      <c r="E54" s="47">
        <f>IF(AND(ISNUMBER('Sektorski plasman'!A88)=TRUE,ISNUMBER(C54)=TRUE),'Sektorski plasman'!A88,"")</f>
      </c>
      <c r="F54" s="57">
        <f>IF(ISNUMBER('Sektorski plasman'!B88)=FALSE,"",'Sektorski plasman'!B88)</f>
      </c>
      <c r="G54" s="56">
        <f t="shared" si="4"/>
      </c>
      <c r="H54" s="56">
        <f>IF(ISNUMBER(G54)=TRUE,VLOOKUP(B54,'Upis rezultata A sektora'!$D$2:$G$13,4,FALSE),"")</f>
      </c>
      <c r="I54" s="61">
        <f t="shared" si="5"/>
      </c>
      <c r="J54">
        <f t="shared" si="6"/>
      </c>
      <c r="K54">
        <f t="shared" si="7"/>
        <v>0</v>
      </c>
    </row>
    <row r="55" spans="1:11" ht="12.75" hidden="1">
      <c r="A55" s="16">
        <f>IF(ISNONTEXT('Sektorski plasman'!D34)=TRUE,"",'Sektorski plasman'!D34)</f>
      </c>
      <c r="B55" s="16">
        <f>IF(AND(ISTEXT('Sektorski plasman'!D34)=TRUE,ISNUMBER(F55)=FALSE),"",'Sektorski plasman'!E34)</f>
      </c>
      <c r="C55" s="57">
        <f>IF(ISNUMBER('Sektorski plasman'!C34)=FALSE,"",'Sektorski plasman'!C34)</f>
      </c>
      <c r="D55" s="57">
        <f>IF(ISNUMBER(F55)=FALSE,"","B")</f>
      </c>
      <c r="E55" s="47">
        <f>IF(AND(ISNUMBER('Sektorski plasman'!A34)=TRUE,ISNUMBER(C55)=TRUE),'Sektorski plasman'!A34,"")</f>
      </c>
      <c r="F55" s="57">
        <f>IF(ISNUMBER('Sektorski plasman'!B34)=FALSE,"",'Sektorski plasman'!B34)</f>
      </c>
      <c r="G55" s="56">
        <f t="shared" si="4"/>
      </c>
      <c r="H55" s="56">
        <f>IF(ISNUMBER(G55)=TRUE,VLOOKUP(B55,'Upis rezultata A sektora'!$D$2:$G$13,4,FALSE),"")</f>
      </c>
      <c r="I55" s="61">
        <f t="shared" si="5"/>
      </c>
      <c r="J55">
        <f t="shared" si="6"/>
      </c>
      <c r="K55">
        <f t="shared" si="7"/>
        <v>0</v>
      </c>
    </row>
    <row r="56" spans="1:11" ht="12.75" hidden="1">
      <c r="A56" s="16">
        <f>IF(ISNONTEXT('Sektorski plasman'!D35)=TRUE,"",'Sektorski plasman'!D35)</f>
      </c>
      <c r="B56" s="16">
        <f>IF(AND(ISTEXT('Sektorski plasman'!D35)=TRUE,ISNUMBER(F56)=FALSE),"",'Sektorski plasman'!E35)</f>
      </c>
      <c r="C56" s="57">
        <f>IF(ISNUMBER('Sektorski plasman'!C35)=FALSE,"",'Sektorski plasman'!C35)</f>
      </c>
      <c r="D56" s="57">
        <f>IF(ISNUMBER(F56)=FALSE,"","B")</f>
      </c>
      <c r="E56" s="47">
        <f>IF(AND(ISNUMBER('Sektorski plasman'!A35)=TRUE,ISNUMBER(C56)=TRUE),'Sektorski plasman'!A35,"")</f>
      </c>
      <c r="F56" s="57">
        <f>IF(ISNUMBER('Sektorski plasman'!B35)=FALSE,"",'Sektorski plasman'!B35)</f>
      </c>
      <c r="G56" s="56">
        <f t="shared" si="4"/>
      </c>
      <c r="H56" s="56">
        <f>IF(ISNUMBER(G56)=TRUE,VLOOKUP(B56,'Upis rezultata A sektora'!$D$2:$G$13,4,FALSE),"")</f>
      </c>
      <c r="I56" s="61">
        <f t="shared" si="5"/>
      </c>
      <c r="J56">
        <f t="shared" si="6"/>
      </c>
      <c r="K56">
        <f t="shared" si="7"/>
        <v>0</v>
      </c>
    </row>
    <row r="57" spans="1:11" ht="12.75" hidden="1">
      <c r="A57" s="16">
        <f>IF(ISNONTEXT('Sektorski plasman'!D17)=TRUE,"",'Sektorski plasman'!D17)</f>
      </c>
      <c r="B57" s="16">
        <f>IF(AND(ISTEXT('Sektorski plasman'!D17)=TRUE,ISNUMBER(F57)=FALSE),"",'Sektorski plasman'!E17)</f>
      </c>
      <c r="C57" s="57">
        <f>IF(ISNUMBER('Sektorski plasman'!C17)=FALSE,"",'Sektorski plasman'!C17)</f>
      </c>
      <c r="D57" s="57">
        <f>IF(ISNUMBER(F57)=FALSE,"","A")</f>
      </c>
      <c r="E57" s="47">
        <f>IF(AND(ISNUMBER('Sektorski plasman'!A17)=TRUE,ISNUMBER(C57)=TRUE),'Sektorski plasman'!A17,"")</f>
      </c>
      <c r="F57" s="57">
        <f>IF(ISNUMBER('Sektorski plasman'!B17)=FALSE,"",'Sektorski plasman'!B17)</f>
      </c>
      <c r="G57" s="56">
        <f t="shared" si="4"/>
      </c>
      <c r="H57" s="56">
        <f>IF(ISNUMBER(G57)=TRUE,VLOOKUP(B57,'Upis rezultata A sektora'!$D$2:$G$13,4,FALSE),"")</f>
      </c>
      <c r="I57" s="61">
        <f t="shared" si="5"/>
      </c>
      <c r="J57">
        <f t="shared" si="6"/>
      </c>
      <c r="K57">
        <f t="shared" si="7"/>
        <v>0</v>
      </c>
    </row>
    <row r="58" spans="1:11" ht="12.75" hidden="1">
      <c r="A58" s="16">
        <f>IF(ISNONTEXT('Sektorski plasman'!D18)=TRUE,"",'Sektorski plasman'!D18)</f>
      </c>
      <c r="B58" s="16">
        <f>IF(AND(ISTEXT('Sektorski plasman'!D18)=TRUE,ISNUMBER(F58)=FALSE),"",'Sektorski plasman'!E18)</f>
      </c>
      <c r="C58" s="57">
        <f>IF(ISNUMBER('Sektorski plasman'!C18)=FALSE,"",'Sektorski plasman'!C18)</f>
      </c>
      <c r="D58" s="57">
        <f>IF(ISNUMBER(F58)=FALSE,"","A")</f>
      </c>
      <c r="E58" s="47">
        <f>IF(AND(ISNUMBER('Sektorski plasman'!A18)=TRUE,ISNUMBER(C58)=TRUE),'Sektorski plasman'!A18,"")</f>
      </c>
      <c r="F58" s="57">
        <f>IF(ISNUMBER('Sektorski plasman'!B18)=FALSE,"",'Sektorski plasman'!B18)</f>
      </c>
      <c r="G58" s="56">
        <f t="shared" si="4"/>
      </c>
      <c r="H58" s="56">
        <f>IF(ISNUMBER(G58)=TRUE,VLOOKUP(B58,'Upis rezultata A sektora'!$D$2:$G$13,4,FALSE),"")</f>
      </c>
      <c r="I58" s="61">
        <f t="shared" si="5"/>
      </c>
      <c r="J58">
        <f t="shared" si="6"/>
      </c>
      <c r="K58">
        <f t="shared" si="7"/>
        <v>0</v>
      </c>
    </row>
    <row r="59" spans="1:11" ht="12.75" hidden="1">
      <c r="A59" s="16">
        <f>IF(ISNONTEXT('Sektorski plasman'!D71)=TRUE,"",'Sektorski plasman'!D71)</f>
      </c>
      <c r="B59" s="16">
        <f>IF(AND(ISTEXT('Sektorski plasman'!D71)=TRUE,ISNUMBER(F59)=FALSE),"",'Sektorski plasman'!E71)</f>
      </c>
      <c r="C59" s="57">
        <f>IF(ISNUMBER('Sektorski plasman'!C71)=FALSE,"",'Sektorski plasman'!C71)</f>
      </c>
      <c r="D59" s="57">
        <f>IF(ISNUMBER(F59)=FALSE,"","D")</f>
      </c>
      <c r="E59" s="47">
        <f>IF(AND(ISNUMBER('Sektorski plasman'!A71)=TRUE,ISNUMBER(C59)=TRUE),'Sektorski plasman'!A71,"")</f>
      </c>
      <c r="F59" s="57">
        <f>IF(ISNUMBER('Sektorski plasman'!B71)=FALSE,"",'Sektorski plasman'!B71)</f>
      </c>
      <c r="G59" s="56">
        <f t="shared" si="4"/>
      </c>
      <c r="H59" s="56">
        <f>IF(ISNUMBER(G59)=TRUE,VLOOKUP(B59,'Upis rezultata A sektora'!$D$2:$G$13,4,FALSE),"")</f>
      </c>
      <c r="I59" s="61">
        <f t="shared" si="5"/>
      </c>
      <c r="J59">
        <f t="shared" si="6"/>
      </c>
      <c r="K59">
        <f t="shared" si="7"/>
        <v>0</v>
      </c>
    </row>
    <row r="60" spans="1:11" ht="12.75" hidden="1">
      <c r="A60" s="16">
        <f>IF(ISNONTEXT('Sektorski plasman'!D52)=TRUE,"",'Sektorski plasman'!D52)</f>
      </c>
      <c r="B60" s="16">
        <f>IF(AND(ISTEXT('Sektorski plasman'!D52)=TRUE,ISNUMBER(F60)=FALSE),"",'Sektorski plasman'!E52)</f>
      </c>
      <c r="C60" s="57">
        <f>IF(ISNUMBER('Sektorski plasman'!C52)=FALSE,"",'Sektorski plasman'!C52)</f>
      </c>
      <c r="D60" s="57">
        <f>IF(ISNUMBER(F60)=FALSE,"","C")</f>
      </c>
      <c r="E60" s="47">
        <f>IF(AND(ISNUMBER('Sektorski plasman'!A52)=TRUE,ISNUMBER(C60)=TRUE),'Sektorski plasman'!A52,"")</f>
      </c>
      <c r="F60" s="57">
        <f>IF(ISNUMBER('Sektorski plasman'!B52)=FALSE,"",'Sektorski plasman'!B52)</f>
      </c>
      <c r="G60" s="56">
        <f t="shared" si="4"/>
      </c>
      <c r="H60" s="56">
        <f>IF(ISNUMBER(G60)=TRUE,VLOOKUP(B60,'Upis rezultata A sektora'!$D$2:$G$13,4,FALSE),"")</f>
      </c>
      <c r="I60" s="61">
        <f t="shared" si="5"/>
      </c>
      <c r="J60">
        <f t="shared" si="6"/>
      </c>
      <c r="K60">
        <f t="shared" si="7"/>
        <v>0</v>
      </c>
    </row>
    <row r="61" spans="1:11" ht="12.75" hidden="1">
      <c r="A61" s="16">
        <f>IF(ISNONTEXT('Sektorski plasman'!D89)=TRUE,"",'Sektorski plasman'!D89)</f>
      </c>
      <c r="B61" s="16">
        <f>IF(AND(ISTEXT('Sektorski plasman'!D89)=TRUE,ISNUMBER(F61)=FALSE),"",'Sektorski plasman'!E89)</f>
      </c>
      <c r="C61" s="57">
        <f>IF(ISNUMBER('Sektorski plasman'!C89)=FALSE,"",'Sektorski plasman'!C89)</f>
      </c>
      <c r="D61" s="57">
        <f>IF(ISNUMBER(F61)=FALSE,"","E")</f>
      </c>
      <c r="E61" s="47">
        <f>IF(AND(ISNUMBER('Sektorski plasman'!A89)=TRUE,ISNUMBER(C61)=TRUE),'Sektorski plasman'!A89,"")</f>
      </c>
      <c r="F61" s="57">
        <f>IF(ISNUMBER('Sektorski plasman'!B89)=FALSE,"",'Sektorski plasman'!B89)</f>
      </c>
      <c r="G61" s="56">
        <f t="shared" si="4"/>
      </c>
      <c r="H61" s="56">
        <f>IF(ISNUMBER(G61)=TRUE,VLOOKUP(B61,'Upis rezultata A sektora'!$D$2:$G$13,4,FALSE),"")</f>
      </c>
      <c r="I61" s="61">
        <f t="shared" si="5"/>
      </c>
      <c r="J61">
        <f t="shared" si="6"/>
      </c>
      <c r="K61">
        <f t="shared" si="7"/>
        <v>0</v>
      </c>
    </row>
    <row r="62" spans="1:11" ht="12.75" hidden="1">
      <c r="A62" s="16">
        <f>IF(ISNONTEXT('Sektorski plasman'!D36)=TRUE,"",'Sektorski plasman'!D36)</f>
      </c>
      <c r="B62" s="16">
        <f>IF(AND(ISTEXT('Sektorski plasman'!D36)=TRUE,ISNUMBER(F62)=FALSE),"",'Sektorski plasman'!E36)</f>
      </c>
      <c r="C62" s="57">
        <f>IF(ISNUMBER('Sektorski plasman'!C36)=FALSE,"",'Sektorski plasman'!C36)</f>
      </c>
      <c r="D62" s="57">
        <f>IF(ISNUMBER(F62)=FALSE,"","B")</f>
      </c>
      <c r="E62" s="47">
        <f>IF(AND(ISNUMBER('Sektorski plasman'!A36)=TRUE,ISNUMBER(C62)=TRUE),'Sektorski plasman'!A36,"")</f>
      </c>
      <c r="F62" s="57">
        <f>IF(ISNUMBER('Sektorski plasman'!B36)=FALSE,"",'Sektorski plasman'!B36)</f>
      </c>
      <c r="G62" s="56">
        <f t="shared" si="4"/>
      </c>
      <c r="H62" s="56">
        <f>IF(ISNUMBER(G62)=TRUE,VLOOKUP(B62,'Upis rezultata A sektora'!$D$2:$G$13,4,FALSE),"")</f>
      </c>
      <c r="I62" s="61">
        <f t="shared" si="5"/>
      </c>
      <c r="J62">
        <f t="shared" si="6"/>
      </c>
      <c r="K62">
        <f t="shared" si="7"/>
        <v>0</v>
      </c>
    </row>
    <row r="63" spans="1:11" ht="12.75" hidden="1">
      <c r="A63" s="16">
        <f>IF(ISNONTEXT('Sektorski plasman'!D53)=TRUE,"",'Sektorski plasman'!D53)</f>
      </c>
      <c r="B63" s="16">
        <f>IF(AND(ISTEXT('Sektorski plasman'!D53)=TRUE,ISNUMBER(F63)=FALSE),"",'Sektorski plasman'!E53)</f>
      </c>
      <c r="C63" s="57">
        <f>IF(ISNUMBER('Sektorski plasman'!C53)=FALSE,"",'Sektorski plasman'!C53)</f>
      </c>
      <c r="D63" s="57">
        <f>IF(ISNUMBER(F63)=FALSE,"","C")</f>
      </c>
      <c r="E63" s="47">
        <f>IF(AND(ISNUMBER('Sektorski plasman'!A53)=TRUE,ISNUMBER(C63)=TRUE),'Sektorski plasman'!A53,"")</f>
      </c>
      <c r="F63" s="57">
        <f>IF(ISNUMBER('Sektorski plasman'!B53)=FALSE,"",'Sektorski plasman'!B53)</f>
      </c>
      <c r="G63" s="56">
        <f t="shared" si="4"/>
      </c>
      <c r="H63" s="56">
        <f>IF(ISNUMBER(G63)=TRUE,VLOOKUP(B63,'Upis rezultata A sektora'!$D$2:$G$13,4,FALSE),"")</f>
      </c>
      <c r="I63" s="61">
        <f t="shared" si="5"/>
      </c>
      <c r="J63">
        <f t="shared" si="6"/>
      </c>
      <c r="K63">
        <f t="shared" si="7"/>
        <v>0</v>
      </c>
    </row>
    <row r="64" spans="1:11" ht="12.75" hidden="1">
      <c r="A64" s="16">
        <f>IF(ISNONTEXT('Sektorski plasman'!D72)=TRUE,"",'Sektorski plasman'!D72)</f>
      </c>
      <c r="B64" s="16">
        <f>IF(AND(ISTEXT('Sektorski plasman'!D72)=TRUE,ISNUMBER(F64)=FALSE),"",'Sektorski plasman'!E72)</f>
      </c>
      <c r="C64" s="57">
        <f>IF(ISNUMBER('Sektorski plasman'!C72)=FALSE,"",'Sektorski plasman'!C72)</f>
      </c>
      <c r="D64" s="57">
        <f>IF(ISNUMBER(F64)=FALSE,"","D")</f>
      </c>
      <c r="E64" s="47">
        <f>IF(AND(ISNUMBER('Sektorski plasman'!A72)=TRUE,ISNUMBER(C64)=TRUE),'Sektorski plasman'!A72,"")</f>
      </c>
      <c r="F64" s="57">
        <f>IF(ISNUMBER('Sektorski plasman'!B72)=FALSE,"",'Sektorski plasman'!B72)</f>
      </c>
      <c r="G64" s="56">
        <f t="shared" si="4"/>
      </c>
      <c r="H64" s="56">
        <f>IF(ISNUMBER(G64)=TRUE,VLOOKUP(B64,'Upis rezultata A sektora'!$D$2:$G$13,4,FALSE),"")</f>
      </c>
      <c r="I64" s="61">
        <f t="shared" si="5"/>
      </c>
      <c r="J64">
        <f t="shared" si="6"/>
      </c>
      <c r="K64">
        <f t="shared" si="7"/>
        <v>0</v>
      </c>
    </row>
    <row r="65" spans="1:11" ht="12.75" hidden="1">
      <c r="A65" s="16">
        <f>IF(ISNONTEXT('Sektorski plasman'!D19)=TRUE,"",'Sektorski plasman'!D19)</f>
      </c>
      <c r="B65" s="16">
        <f>IF(AND(ISTEXT('Sektorski plasman'!D19)=TRUE,ISNUMBER(F65)=FALSE),"",'Sektorski plasman'!E19)</f>
      </c>
      <c r="C65" s="57">
        <f>IF(ISNUMBER('Sektorski plasman'!C19)=FALSE,"",'Sektorski plasman'!C19)</f>
      </c>
      <c r="D65" s="57">
        <f>IF(ISNUMBER(F65)=FALSE,"","A")</f>
      </c>
      <c r="E65" s="47">
        <f>IF(AND(ISNUMBER('Sektorski plasman'!A19)=TRUE,ISNUMBER(C65)=TRUE),'Sektorski plasman'!A19,"")</f>
      </c>
      <c r="F65" s="57">
        <f>IF(ISNUMBER('Sektorski plasman'!B19)=FALSE,"",'Sektorski plasman'!B19)</f>
      </c>
      <c r="G65" s="56">
        <f t="shared" si="4"/>
      </c>
      <c r="H65" s="56">
        <f>IF(ISNUMBER(G65)=TRUE,VLOOKUP(B65,'Upis rezultata A sektora'!$D$2:$G$13,4,FALSE),"")</f>
      </c>
      <c r="I65" s="61">
        <f t="shared" si="5"/>
      </c>
      <c r="J65">
        <f t="shared" si="6"/>
      </c>
      <c r="K65">
        <f t="shared" si="7"/>
        <v>0</v>
      </c>
    </row>
    <row r="66" spans="1:4" ht="12.75" hidden="1">
      <c r="A66" s="57"/>
      <c r="D66" s="57"/>
    </row>
    <row r="67" spans="1:4" ht="12.75" hidden="1">
      <c r="A67" s="57"/>
      <c r="D67" s="57"/>
    </row>
    <row r="68" spans="1:4" ht="12.75" hidden="1">
      <c r="A68" s="57"/>
      <c r="D68" s="57"/>
    </row>
    <row r="69" spans="1:4" ht="12.75" hidden="1">
      <c r="A69" s="57"/>
      <c r="D69" s="57"/>
    </row>
    <row r="70" spans="1:4" ht="12.75" hidden="1">
      <c r="A70" s="57"/>
      <c r="D70" s="57"/>
    </row>
    <row r="74" ht="12.75"/>
    <row r="75" ht="12.75"/>
  </sheetData>
  <sheetProtection/>
  <mergeCells count="1">
    <mergeCell ref="I5:K5"/>
  </mergeCells>
  <printOptions horizontalCentered="1"/>
  <pageMargins left="0.7480314960629921" right="0.7480314960629921" top="0.984251968503937" bottom="0.984251968503937" header="0.5118110236220472" footer="0.5118110236220472"/>
  <pageSetup horizontalDpi="300" verticalDpi="300" orientation="portrait" paperSize="9" r:id="rId3"/>
  <headerFooter alignWithMargins="0">
    <oddHeader>&amp;C&amp;9&amp;Y&amp;A&amp;R&amp;9&amp;YStrana &amp;P</oddHeader>
    <oddFooter>&amp;C&amp;"Arial,Italic"&amp;9&amp;Y&amp;F by Mladen Čačić</oddFooter>
  </headerFooter>
  <legacyDrawing r:id="rId2"/>
</worksheet>
</file>

<file path=xl/worksheets/sheet23.xml><?xml version="1.0" encoding="utf-8"?>
<worksheet xmlns="http://schemas.openxmlformats.org/spreadsheetml/2006/main" xmlns:r="http://schemas.openxmlformats.org/officeDocument/2006/relationships">
  <sheetPr codeName="Sheet24">
    <tabColor indexed="51"/>
  </sheetPr>
  <dimension ref="A1:K120"/>
  <sheetViews>
    <sheetView showRowColHeaders="0" zoomScalePageLayoutView="0" workbookViewId="0" topLeftCell="A1">
      <selection activeCell="L23" sqref="L23"/>
    </sheetView>
  </sheetViews>
  <sheetFormatPr defaultColWidth="9.140625" defaultRowHeight="12.75"/>
  <cols>
    <col min="1" max="1" width="4.57421875" style="7" customWidth="1"/>
    <col min="2" max="2" width="20.8515625" style="6" customWidth="1"/>
    <col min="3" max="3" width="19.28125" style="6" customWidth="1"/>
    <col min="4" max="4" width="11.28125" style="6" customWidth="1"/>
    <col min="5" max="5" width="7.28125" style="6" customWidth="1"/>
    <col min="6" max="6" width="6.7109375" style="7" customWidth="1"/>
    <col min="7" max="7" width="6.7109375" style="6" customWidth="1"/>
    <col min="8" max="8" width="8.421875" style="6" customWidth="1"/>
    <col min="9" max="9" width="9.421875" style="33" customWidth="1"/>
    <col min="10" max="16384" width="9.140625" style="6" customWidth="1"/>
  </cols>
  <sheetData>
    <row r="1" spans="1:11" ht="12.75">
      <c r="A1" s="250" t="s">
        <v>172</v>
      </c>
      <c r="B1" s="251"/>
      <c r="C1" s="252">
        <f>IF(ISNONTEXT('Organizacija natjecanja'!$H$2)=TRUE,"",'Organizacija natjecanja'!$H$2)</f>
      </c>
      <c r="D1" s="308"/>
      <c r="E1" s="253"/>
      <c r="F1" s="254"/>
      <c r="G1" s="308"/>
      <c r="H1" s="309"/>
      <c r="K1" s="16"/>
    </row>
    <row r="2" spans="1:8" ht="12.75">
      <c r="A2" s="256" t="s">
        <v>173</v>
      </c>
      <c r="B2" s="257"/>
      <c r="C2" s="258">
        <f>IF(ISNONTEXT('Organizacija natjecanja'!$H$5)=TRUE,"",'Organizacija natjecanja'!$H$5)</f>
      </c>
      <c r="D2" s="310"/>
      <c r="E2" s="259"/>
      <c r="F2" s="261"/>
      <c r="G2" s="310"/>
      <c r="H2" s="311"/>
    </row>
    <row r="3" spans="1:8" ht="12.75">
      <c r="A3" s="256" t="s">
        <v>174</v>
      </c>
      <c r="B3" s="257"/>
      <c r="C3" s="261">
        <f>IF(ISNONTEXT('Organizacija natjecanja'!$H$7)=TRUE,"",'Organizacija natjecanja'!$H$7)</f>
      </c>
      <c r="D3" s="310"/>
      <c r="E3" s="262"/>
      <c r="F3" s="263"/>
      <c r="G3" s="310"/>
      <c r="H3" s="311"/>
    </row>
    <row r="4" spans="1:9" ht="12.75">
      <c r="A4" s="256" t="s">
        <v>175</v>
      </c>
      <c r="B4" s="257"/>
      <c r="C4" s="261">
        <f>IF(ISNONTEXT('Organizacija natjecanja'!$H$13)=TRUE,"",'Organizacija natjecanja'!$H$13)</f>
      </c>
      <c r="D4" s="310"/>
      <c r="E4" s="262"/>
      <c r="F4" s="263"/>
      <c r="G4" s="310"/>
      <c r="H4" s="311"/>
      <c r="I4" s="7"/>
    </row>
    <row r="5" spans="1:8" ht="12.75">
      <c r="A5" s="256" t="s">
        <v>176</v>
      </c>
      <c r="B5" s="257"/>
      <c r="C5" s="261">
        <f>IF(ISNONTEXT('Organizacija natjecanja'!$H$4)=TRUE,"",'Organizacija natjecanja'!$H$4)</f>
      </c>
      <c r="D5" s="310"/>
      <c r="E5" s="262"/>
      <c r="F5" s="263"/>
      <c r="G5" s="310"/>
      <c r="H5" s="311"/>
    </row>
    <row r="6" spans="1:8" ht="12.75">
      <c r="A6" s="256"/>
      <c r="B6" s="257"/>
      <c r="C6" s="261"/>
      <c r="D6" s="310"/>
      <c r="E6" s="262"/>
      <c r="F6" s="263"/>
      <c r="G6" s="310"/>
      <c r="H6" s="311"/>
    </row>
    <row r="7" spans="1:8" ht="14.25" customHeight="1">
      <c r="A7" s="312" t="s">
        <v>91</v>
      </c>
      <c r="B7" s="266"/>
      <c r="C7" s="267">
        <f>IF(ISBLANK('Organizacija natjecanja'!$H$9)=TRUE,"",'Organizacija natjecanja'!$H$9)</f>
      </c>
      <c r="D7" s="313"/>
      <c r="E7" s="268"/>
      <c r="F7" s="269"/>
      <c r="G7" s="313"/>
      <c r="H7" s="314"/>
    </row>
    <row r="8" spans="1:8" ht="12.75">
      <c r="A8" s="329"/>
      <c r="B8" s="323"/>
      <c r="C8" s="324"/>
      <c r="D8" s="122"/>
      <c r="E8" s="325"/>
      <c r="F8" s="329"/>
      <c r="G8" s="122"/>
      <c r="H8" s="330"/>
    </row>
    <row r="9" spans="1:9" ht="12.75" customHeight="1">
      <c r="A9" s="465" t="s">
        <v>186</v>
      </c>
      <c r="B9" s="331" t="s">
        <v>21</v>
      </c>
      <c r="C9" s="331" t="s">
        <v>20</v>
      </c>
      <c r="D9" s="332" t="s">
        <v>190</v>
      </c>
      <c r="E9" s="333" t="s">
        <v>92</v>
      </c>
      <c r="F9" s="334" t="s">
        <v>191</v>
      </c>
      <c r="G9" s="334" t="s">
        <v>23</v>
      </c>
      <c r="H9" s="335" t="s">
        <v>181</v>
      </c>
      <c r="I9" s="59"/>
    </row>
    <row r="10" spans="1:9" ht="12.75">
      <c r="A10" s="286">
        <f>IF(ISNUMBER(F10)=FALSE,"",1)</f>
      </c>
      <c r="B10" s="295">
        <f>IF(ISNONTEXT('Pojedinačni plasman'!A6)=TRUE,"",'Pojedinačni plasman'!A6)</f>
      </c>
      <c r="C10" s="296">
        <f>IF(ISNONTEXT('Pojedinačni plasman'!B6)=TRUE,"",'Pojedinačni plasman'!B6)</f>
      </c>
      <c r="D10" s="326">
        <f>IF(ISNUMBER('Pojedinačni plasman'!E6)=FALSE,"",'Pojedinačni plasman'!E6)</f>
      </c>
      <c r="E10" s="348">
        <f>IF(ISNUMBER('Pojedinačni plasman'!F6)=FALSE,"",'Pojedinačni plasman'!F6)</f>
      </c>
      <c r="F10" s="319">
        <f>IF(ISNUMBER('Pojedinačni plasman'!C6)=FALSE,"",'Pojedinačni plasman'!C6)</f>
      </c>
      <c r="G10" s="319">
        <f>IF(ISNONTEXT('Pojedinačni plasman'!D6)=TRUE,"",'Pojedinačni plasman'!D6)</f>
      </c>
      <c r="H10" s="288">
        <f>IF(ISNUMBER('Pojedinačni plasman'!G6)=FALSE,"",'Pojedinačni plasman'!G6)</f>
      </c>
      <c r="I10" s="61"/>
    </row>
    <row r="11" spans="1:9" ht="12.75">
      <c r="A11" s="280">
        <f>IF(ISNUMBER(F11)=FALSE,"",2)</f>
      </c>
      <c r="B11" s="297">
        <f>IF(ISNONTEXT('Pojedinačni plasman'!A7)=TRUE,"",'Pojedinačni plasman'!A7)</f>
      </c>
      <c r="C11" s="298">
        <f>IF(ISNONTEXT('Pojedinačni plasman'!B7)=TRUE,"",'Pojedinačni plasman'!B7)</f>
      </c>
      <c r="D11" s="327">
        <f>IF(ISNUMBER('Pojedinačni plasman'!E7)=FALSE,"",'Pojedinačni plasman'!E7)</f>
      </c>
      <c r="E11" s="349">
        <f>IF(ISNUMBER('Pojedinačni plasman'!F7)=FALSE,"",'Pojedinačni plasman'!F7)</f>
      </c>
      <c r="F11" s="320">
        <f>IF(ISNUMBER('Pojedinačni plasman'!C7)=FALSE,"",'Pojedinačni plasman'!C7)</f>
      </c>
      <c r="G11" s="320">
        <f>IF(ISNONTEXT('Pojedinačni plasman'!D7)=TRUE,"",'Pojedinačni plasman'!D7)</f>
      </c>
      <c r="H11" s="282">
        <f>IF(ISNUMBER('Pojedinačni plasman'!G7)=FALSE,"",'Pojedinačni plasman'!G7)</f>
      </c>
      <c r="I11" s="61"/>
    </row>
    <row r="12" spans="1:9" ht="12.75">
      <c r="A12" s="280">
        <f>IF(ISNUMBER(F12)=FALSE,"",3)</f>
      </c>
      <c r="B12" s="297">
        <f>IF(ISNONTEXT('Pojedinačni plasman'!A8)=TRUE,"",'Pojedinačni plasman'!A8)</f>
      </c>
      <c r="C12" s="298">
        <f>IF(ISNONTEXT('Pojedinačni plasman'!B8)=TRUE,"",'Pojedinačni plasman'!B8)</f>
      </c>
      <c r="D12" s="327">
        <f>IF(ISNUMBER('Pojedinačni plasman'!E8)=FALSE,"",'Pojedinačni plasman'!E8)</f>
      </c>
      <c r="E12" s="349">
        <f>IF(ISNUMBER('Pojedinačni plasman'!F8)=FALSE,"",'Pojedinačni plasman'!F8)</f>
      </c>
      <c r="F12" s="320">
        <f>IF(ISNUMBER('Pojedinačni plasman'!C8)=FALSE,"",'Pojedinačni plasman'!C8)</f>
      </c>
      <c r="G12" s="320">
        <f>IF(ISNONTEXT('Pojedinačni plasman'!D8)=TRUE,"",'Pojedinačni plasman'!D8)</f>
      </c>
      <c r="H12" s="282">
        <f>IF(ISNUMBER('Pojedinačni plasman'!G8)=FALSE,"",'Pojedinačni plasman'!G8)</f>
      </c>
      <c r="I12" s="61"/>
    </row>
    <row r="13" spans="1:10" ht="12.75">
      <c r="A13" s="280">
        <f>IF(ISNUMBER(F13)=FALSE,"",4)</f>
      </c>
      <c r="B13" s="297">
        <f>IF(ISNONTEXT('Pojedinačni plasman'!A9)=TRUE,"",'Pojedinačni plasman'!A9)</f>
      </c>
      <c r="C13" s="298">
        <f>IF(ISNONTEXT('Pojedinačni plasman'!B9)=TRUE,"",'Pojedinačni plasman'!B9)</f>
      </c>
      <c r="D13" s="327">
        <f>IF(ISNUMBER('Pojedinačni plasman'!E9)=FALSE,"",'Pojedinačni plasman'!E9)</f>
      </c>
      <c r="E13" s="349">
        <f>IF(ISNUMBER('Pojedinačni plasman'!F9)=FALSE,"",'Pojedinačni plasman'!F9)</f>
      </c>
      <c r="F13" s="320">
        <f>IF(ISNUMBER('Pojedinačni plasman'!C9)=FALSE,"",'Pojedinačni plasman'!C9)</f>
      </c>
      <c r="G13" s="320">
        <f>IF(ISNONTEXT('Pojedinačni plasman'!D9)=TRUE,"",'Pojedinačni plasman'!D9)</f>
      </c>
      <c r="H13" s="282">
        <f>IF(ISNUMBER('Pojedinačni plasman'!G9)=FALSE,"",'Pojedinačni plasman'!G9)</f>
      </c>
      <c r="I13" s="61"/>
      <c r="J13" s="26"/>
    </row>
    <row r="14" spans="1:9" ht="12.75">
      <c r="A14" s="280">
        <f>IF(ISNUMBER(F14)=FALSE,"",5)</f>
      </c>
      <c r="B14" s="297">
        <f>IF(ISNONTEXT('Pojedinačni plasman'!A10)=TRUE,"",'Pojedinačni plasman'!A10)</f>
      </c>
      <c r="C14" s="298">
        <f>IF(ISNONTEXT('Pojedinačni plasman'!B10)=TRUE,"",'Pojedinačni plasman'!B10)</f>
      </c>
      <c r="D14" s="327">
        <f>IF(ISNUMBER('Pojedinačni plasman'!E10)=FALSE,"",'Pojedinačni plasman'!E10)</f>
      </c>
      <c r="E14" s="349">
        <f>IF(ISNUMBER('Pojedinačni plasman'!F10)=FALSE,"",'Pojedinačni plasman'!F10)</f>
      </c>
      <c r="F14" s="320">
        <f>IF(ISNUMBER('Pojedinačni plasman'!C10)=FALSE,"",'Pojedinačni plasman'!C10)</f>
      </c>
      <c r="G14" s="320">
        <f>IF(ISNONTEXT('Pojedinačni plasman'!D10)=TRUE,"",'Pojedinačni plasman'!D10)</f>
      </c>
      <c r="H14" s="282">
        <f>IF(ISNUMBER('Pojedinačni plasman'!G10)=FALSE,"",'Pojedinačni plasman'!G10)</f>
      </c>
      <c r="I14" s="61"/>
    </row>
    <row r="15" spans="1:9" ht="12.75">
      <c r="A15" s="280">
        <f>IF(ISNUMBER(F15)=FALSE,"",6)</f>
      </c>
      <c r="B15" s="297">
        <f>IF(ISNONTEXT('Pojedinačni plasman'!A11)=TRUE,"",'Pojedinačni plasman'!A11)</f>
      </c>
      <c r="C15" s="298">
        <f>IF(ISNONTEXT('Pojedinačni plasman'!B11)=TRUE,"",'Pojedinačni plasman'!B11)</f>
      </c>
      <c r="D15" s="327">
        <f>IF(ISNUMBER('Pojedinačni plasman'!E11)=FALSE,"",'Pojedinačni plasman'!E11)</f>
      </c>
      <c r="E15" s="349">
        <f>IF(ISNUMBER('Pojedinačni plasman'!F11)=FALSE,"",'Pojedinačni plasman'!F11)</f>
      </c>
      <c r="F15" s="320">
        <f>IF(ISNUMBER('Pojedinačni plasman'!C11)=FALSE,"",'Pojedinačni plasman'!C11)</f>
      </c>
      <c r="G15" s="320">
        <f>IF(ISNONTEXT('Pojedinačni plasman'!D11)=TRUE,"",'Pojedinačni plasman'!D11)</f>
      </c>
      <c r="H15" s="282">
        <f>IF(ISNUMBER('Pojedinačni plasman'!G11)=FALSE,"",'Pojedinačni plasman'!G11)</f>
      </c>
      <c r="I15" s="61"/>
    </row>
    <row r="16" spans="1:9" ht="12.75">
      <c r="A16" s="280">
        <f>IF(ISNUMBER(F16)=FALSE,"",7)</f>
      </c>
      <c r="B16" s="297">
        <f>IF(ISNONTEXT('Pojedinačni plasman'!A12)=TRUE,"",'Pojedinačni plasman'!A12)</f>
      </c>
      <c r="C16" s="298">
        <f>IF(ISNONTEXT('Pojedinačni plasman'!B12)=TRUE,"",'Pojedinačni plasman'!B12)</f>
      </c>
      <c r="D16" s="327">
        <f>IF(ISNUMBER('Pojedinačni plasman'!E12)=FALSE,"",'Pojedinačni plasman'!E12)</f>
      </c>
      <c r="E16" s="349">
        <f>IF(ISNUMBER('Pojedinačni plasman'!F12)=FALSE,"",'Pojedinačni plasman'!F12)</f>
      </c>
      <c r="F16" s="320">
        <f>IF(ISNUMBER('Pojedinačni plasman'!C12)=FALSE,"",'Pojedinačni plasman'!C12)</f>
      </c>
      <c r="G16" s="320">
        <f>IF(ISNONTEXT('Pojedinačni plasman'!D12)=TRUE,"",'Pojedinačni plasman'!D12)</f>
      </c>
      <c r="H16" s="282">
        <f>IF(ISNUMBER('Pojedinačni plasman'!G12)=FALSE,"",'Pojedinačni plasman'!G12)</f>
      </c>
      <c r="I16" s="61"/>
    </row>
    <row r="17" spans="1:9" ht="12.75">
      <c r="A17" s="280">
        <f>IF(ISNUMBER(F17)=FALSE,"",8)</f>
      </c>
      <c r="B17" s="297">
        <f>IF(ISNONTEXT('Pojedinačni plasman'!A13)=TRUE,"",'Pojedinačni plasman'!A13)</f>
      </c>
      <c r="C17" s="298">
        <f>IF(ISNONTEXT('Pojedinačni plasman'!B13)=TRUE,"",'Pojedinačni plasman'!B13)</f>
      </c>
      <c r="D17" s="327">
        <f>IF(ISNUMBER('Pojedinačni plasman'!E13)=FALSE,"",'Pojedinačni plasman'!E13)</f>
      </c>
      <c r="E17" s="349">
        <f>IF(ISNUMBER('Pojedinačni plasman'!F13)=FALSE,"",'Pojedinačni plasman'!F13)</f>
      </c>
      <c r="F17" s="320">
        <f>IF(ISNUMBER('Pojedinačni plasman'!C13)=FALSE,"",'Pojedinačni plasman'!C13)</f>
      </c>
      <c r="G17" s="320">
        <f>IF(ISNONTEXT('Pojedinačni plasman'!D13)=TRUE,"",'Pojedinačni plasman'!D13)</f>
      </c>
      <c r="H17" s="282">
        <f>IF(ISNUMBER('Pojedinačni plasman'!G13)=FALSE,"",'Pojedinačni plasman'!G13)</f>
      </c>
      <c r="I17" s="61"/>
    </row>
    <row r="18" spans="1:9" ht="12.75">
      <c r="A18" s="280">
        <f>IF(ISNUMBER(F18)=FALSE,"",9)</f>
      </c>
      <c r="B18" s="297">
        <f>IF(ISNONTEXT('Pojedinačni plasman'!A14)=TRUE,"",'Pojedinačni plasman'!A14)</f>
      </c>
      <c r="C18" s="298">
        <f>IF(ISNONTEXT('Pojedinačni plasman'!B14)=TRUE,"",'Pojedinačni plasman'!B14)</f>
      </c>
      <c r="D18" s="327">
        <f>IF(ISNUMBER('Pojedinačni plasman'!E14)=FALSE,"",'Pojedinačni plasman'!E14)</f>
      </c>
      <c r="E18" s="349">
        <f>IF(ISNUMBER('Pojedinačni plasman'!F14)=FALSE,"",'Pojedinačni plasman'!F14)</f>
      </c>
      <c r="F18" s="320">
        <f>IF(ISNUMBER('Pojedinačni plasman'!C14)=FALSE,"",'Pojedinačni plasman'!C14)</f>
      </c>
      <c r="G18" s="320">
        <f>IF(ISNONTEXT('Pojedinačni plasman'!D14)=TRUE,"",'Pojedinačni plasman'!D14)</f>
      </c>
      <c r="H18" s="282">
        <f>IF(ISNUMBER('Pojedinačni plasman'!G14)=FALSE,"",'Pojedinačni plasman'!G14)</f>
      </c>
      <c r="I18" s="61"/>
    </row>
    <row r="19" spans="1:9" ht="12.75">
      <c r="A19" s="280">
        <f>IF(ISNUMBER(F19)=FALSE,"",10)</f>
      </c>
      <c r="B19" s="297">
        <f>IF(ISNONTEXT('Pojedinačni plasman'!A15)=TRUE,"",'Pojedinačni plasman'!A15)</f>
      </c>
      <c r="C19" s="298">
        <f>IF(ISNONTEXT('Pojedinačni plasman'!B15)=TRUE,"",'Pojedinačni plasman'!B15)</f>
      </c>
      <c r="D19" s="327">
        <f>IF(ISNUMBER('Pojedinačni plasman'!E15)=FALSE,"",'Pojedinačni plasman'!E15)</f>
      </c>
      <c r="E19" s="349">
        <f>IF(ISNUMBER('Pojedinačni plasman'!F15)=FALSE,"",'Pojedinačni plasman'!F15)</f>
      </c>
      <c r="F19" s="320">
        <f>IF(ISNUMBER('Pojedinačni plasman'!C15)=FALSE,"",'Pojedinačni plasman'!C15)</f>
      </c>
      <c r="G19" s="320">
        <f>IF(ISNONTEXT('Pojedinačni plasman'!D15)=TRUE,"",'Pojedinačni plasman'!D15)</f>
      </c>
      <c r="H19" s="282">
        <f>IF(ISNUMBER('Pojedinačni plasman'!G15)=FALSE,"",'Pojedinačni plasman'!G15)</f>
      </c>
      <c r="I19" s="61"/>
    </row>
    <row r="20" spans="1:10" ht="12.75">
      <c r="A20" s="280">
        <f>IF(ISNUMBER(F20)=FALSE,"",11)</f>
      </c>
      <c r="B20" s="297">
        <f>IF(ISNONTEXT('Pojedinačni plasman'!A16)=TRUE,"",'Pojedinačni plasman'!A16)</f>
      </c>
      <c r="C20" s="298">
        <f>IF(ISNONTEXT('Pojedinačni plasman'!B16)=TRUE,"",'Pojedinačni plasman'!B16)</f>
      </c>
      <c r="D20" s="327">
        <f>IF(ISNUMBER('Pojedinačni plasman'!E16)=FALSE,"",'Pojedinačni plasman'!E16)</f>
      </c>
      <c r="E20" s="349">
        <f>IF(ISNUMBER('Pojedinačni plasman'!F16)=FALSE,"",'Pojedinačni plasman'!F16)</f>
      </c>
      <c r="F20" s="320">
        <f>IF(ISNUMBER('Pojedinačni plasman'!C16)=FALSE,"",'Pojedinačni plasman'!C16)</f>
      </c>
      <c r="G20" s="320">
        <f>IF(ISNONTEXT('Pojedinačni plasman'!D16)=TRUE,"",'Pojedinačni plasman'!D16)</f>
      </c>
      <c r="H20" s="282">
        <f>IF(ISNUMBER('Pojedinačni plasman'!G16)=FALSE,"",'Pojedinačni plasman'!G16)</f>
      </c>
      <c r="I20" s="61"/>
      <c r="J20" s="26"/>
    </row>
    <row r="21" spans="1:9" ht="12.75">
      <c r="A21" s="280">
        <f>IF(ISNUMBER(F21)=FALSE,"",12)</f>
      </c>
      <c r="B21" s="297">
        <f>IF(ISNONTEXT('Pojedinačni plasman'!A17)=TRUE,"",'Pojedinačni plasman'!A17)</f>
      </c>
      <c r="C21" s="298">
        <f>IF(ISNONTEXT('Pojedinačni plasman'!B17)=TRUE,"",'Pojedinačni plasman'!B17)</f>
      </c>
      <c r="D21" s="327">
        <f>IF(ISNUMBER('Pojedinačni plasman'!E17)=FALSE,"",'Pojedinačni plasman'!E17)</f>
      </c>
      <c r="E21" s="349">
        <f>IF(ISNUMBER('Pojedinačni plasman'!F17)=FALSE,"",'Pojedinačni plasman'!F17)</f>
      </c>
      <c r="F21" s="320">
        <f>IF(ISNUMBER('Pojedinačni plasman'!C17)=FALSE,"",'Pojedinačni plasman'!C17)</f>
      </c>
      <c r="G21" s="320">
        <f>IF(ISNONTEXT('Pojedinačni plasman'!D17)=TRUE,"",'Pojedinačni plasman'!D17)</f>
      </c>
      <c r="H21" s="282">
        <f>IF(ISNUMBER('Pojedinačni plasman'!G17)=FALSE,"",'Pojedinačni plasman'!G17)</f>
      </c>
      <c r="I21" s="61"/>
    </row>
    <row r="22" spans="1:9" ht="12.75">
      <c r="A22" s="280">
        <f>IF(ISNUMBER(F22)=FALSE,"",13)</f>
      </c>
      <c r="B22" s="297">
        <f>IF(ISNONTEXT('Pojedinačni plasman'!A18)=TRUE,"",'Pojedinačni plasman'!A18)</f>
      </c>
      <c r="C22" s="298">
        <f>IF(ISNONTEXT('Pojedinačni plasman'!B18)=TRUE,"",'Pojedinačni plasman'!B18)</f>
      </c>
      <c r="D22" s="327">
        <f>IF(ISNUMBER('Pojedinačni plasman'!E18)=FALSE,"",'Pojedinačni plasman'!E18)</f>
      </c>
      <c r="E22" s="349">
        <f>IF(ISNUMBER('Pojedinačni plasman'!F18)=FALSE,"",'Pojedinačni plasman'!F18)</f>
      </c>
      <c r="F22" s="320">
        <f>IF(ISNUMBER('Pojedinačni plasman'!C18)=FALSE,"",'Pojedinačni plasman'!C18)</f>
      </c>
      <c r="G22" s="320">
        <f>IF(ISNONTEXT('Pojedinačni plasman'!D18)=TRUE,"",'Pojedinačni plasman'!D18)</f>
      </c>
      <c r="H22" s="282">
        <f>IF(ISNUMBER('Pojedinačni plasman'!G18)=FALSE,"",'Pojedinačni plasman'!G18)</f>
      </c>
      <c r="I22" s="61"/>
    </row>
    <row r="23" spans="1:9" ht="12.75">
      <c r="A23" s="280">
        <f>IF(ISNUMBER(F23)=FALSE,"",14)</f>
      </c>
      <c r="B23" s="297">
        <f>IF(ISNONTEXT('Pojedinačni plasman'!A19)=TRUE,"",'Pojedinačni plasman'!A19)</f>
      </c>
      <c r="C23" s="298">
        <f>IF(ISNONTEXT('Pojedinačni plasman'!B19)=TRUE,"",'Pojedinačni plasman'!B19)</f>
      </c>
      <c r="D23" s="327">
        <f>IF(ISNUMBER('Pojedinačni plasman'!E19)=FALSE,"",'Pojedinačni plasman'!E19)</f>
      </c>
      <c r="E23" s="349">
        <f>IF(ISNUMBER('Pojedinačni plasman'!F19)=FALSE,"",'Pojedinačni plasman'!F19)</f>
      </c>
      <c r="F23" s="320">
        <f>IF(ISNUMBER('Pojedinačni plasman'!C19)=FALSE,"",'Pojedinačni plasman'!C19)</f>
      </c>
      <c r="G23" s="320">
        <f>IF(ISNONTEXT('Pojedinačni plasman'!D19)=TRUE,"",'Pojedinačni plasman'!D19)</f>
      </c>
      <c r="H23" s="282">
        <f>IF(ISNUMBER('Pojedinačni plasman'!G19)=FALSE,"",'Pojedinačni plasman'!G19)</f>
      </c>
      <c r="I23" s="61"/>
    </row>
    <row r="24" spans="1:9" ht="12.75">
      <c r="A24" s="280">
        <f>IF(ISNUMBER(F24)=FALSE,"",15)</f>
      </c>
      <c r="B24" s="297">
        <f>IF(ISNONTEXT('Pojedinačni plasman'!A20)=TRUE,"",'Pojedinačni plasman'!A20)</f>
      </c>
      <c r="C24" s="298">
        <f>IF(ISNONTEXT('Pojedinačni plasman'!B20)=TRUE,"",'Pojedinačni plasman'!B20)</f>
      </c>
      <c r="D24" s="327">
        <f>IF(ISNUMBER('Pojedinačni plasman'!E20)=FALSE,"",'Pojedinačni plasman'!E20)</f>
      </c>
      <c r="E24" s="349">
        <f>IF(ISNUMBER('Pojedinačni plasman'!F20)=FALSE,"",'Pojedinačni plasman'!F20)</f>
      </c>
      <c r="F24" s="320">
        <f>IF(ISNUMBER('Pojedinačni plasman'!C20)=FALSE,"",'Pojedinačni plasman'!C20)</f>
      </c>
      <c r="G24" s="320">
        <f>IF(ISNONTEXT('Pojedinačni plasman'!D20)=TRUE,"",'Pojedinačni plasman'!D20)</f>
      </c>
      <c r="H24" s="282">
        <f>IF(ISNUMBER('Pojedinačni plasman'!G20)=FALSE,"",'Pojedinačni plasman'!G20)</f>
      </c>
      <c r="I24" s="61"/>
    </row>
    <row r="25" spans="1:9" ht="12.75">
      <c r="A25" s="280">
        <f>IF(ISNUMBER(F25)=FALSE,"",16)</f>
      </c>
      <c r="B25" s="297">
        <f>IF(ISNONTEXT('Pojedinačni plasman'!A21)=TRUE,"",'Pojedinačni plasman'!A21)</f>
      </c>
      <c r="C25" s="298">
        <f>IF(ISNONTEXT('Pojedinačni plasman'!B21)=TRUE,"",'Pojedinačni plasman'!B21)</f>
      </c>
      <c r="D25" s="327">
        <f>IF(ISNUMBER('Pojedinačni plasman'!E21)=FALSE,"",'Pojedinačni plasman'!E21)</f>
      </c>
      <c r="E25" s="349">
        <f>IF(ISNUMBER('Pojedinačni plasman'!F21)=FALSE,"",'Pojedinačni plasman'!F21)</f>
      </c>
      <c r="F25" s="320">
        <f>IF(ISNUMBER('Pojedinačni plasman'!C21)=FALSE,"",'Pojedinačni plasman'!C21)</f>
      </c>
      <c r="G25" s="320">
        <f>IF(ISNONTEXT('Pojedinačni plasman'!D21)=TRUE,"",'Pojedinačni plasman'!D21)</f>
      </c>
      <c r="H25" s="282">
        <f>IF(ISNUMBER('Pojedinačni plasman'!G21)=FALSE,"",'Pojedinačni plasman'!G21)</f>
      </c>
      <c r="I25" s="61"/>
    </row>
    <row r="26" spans="1:9" ht="12.75">
      <c r="A26" s="280">
        <f>IF(ISNUMBER(F26)=FALSE,"",17)</f>
      </c>
      <c r="B26" s="297">
        <f>IF(ISNONTEXT('Pojedinačni plasman'!A22)=TRUE,"",'Pojedinačni plasman'!A22)</f>
      </c>
      <c r="C26" s="298">
        <f>IF(ISNONTEXT('Pojedinačni plasman'!B22)=TRUE,"",'Pojedinačni plasman'!B22)</f>
      </c>
      <c r="D26" s="327">
        <f>IF(ISNUMBER('Pojedinačni plasman'!E22)=FALSE,"",'Pojedinačni plasman'!E22)</f>
      </c>
      <c r="E26" s="349">
        <f>IF(ISNUMBER('Pojedinačni plasman'!F22)=FALSE,"",'Pojedinačni plasman'!F22)</f>
      </c>
      <c r="F26" s="320">
        <f>IF(ISNUMBER('Pojedinačni plasman'!C22)=FALSE,"",'Pojedinačni plasman'!C22)</f>
      </c>
      <c r="G26" s="320">
        <f>IF(ISNONTEXT('Pojedinačni plasman'!D22)=TRUE,"",'Pojedinačni plasman'!D22)</f>
      </c>
      <c r="H26" s="282">
        <f>IF(ISNUMBER('Pojedinačni plasman'!G22)=FALSE,"",'Pojedinačni plasman'!G22)</f>
      </c>
      <c r="I26" s="61"/>
    </row>
    <row r="27" spans="1:9" ht="12.75">
      <c r="A27" s="280">
        <f>IF(ISNUMBER(F27)=FALSE,"",18)</f>
      </c>
      <c r="B27" s="297">
        <f>IF(ISNONTEXT('Pojedinačni plasman'!A23)=TRUE,"",'Pojedinačni plasman'!A23)</f>
      </c>
      <c r="C27" s="298">
        <f>IF(ISNONTEXT('Pojedinačni plasman'!B23)=TRUE,"",'Pojedinačni plasman'!B23)</f>
      </c>
      <c r="D27" s="327">
        <f>IF(ISNUMBER('Pojedinačni plasman'!E23)=FALSE,"",'Pojedinačni plasman'!E23)</f>
      </c>
      <c r="E27" s="349">
        <f>IF(ISNUMBER('Pojedinačni plasman'!F23)=FALSE,"",'Pojedinačni plasman'!F23)</f>
      </c>
      <c r="F27" s="320">
        <f>IF(ISNUMBER('Pojedinačni plasman'!C23)=FALSE,"",'Pojedinačni plasman'!C23)</f>
      </c>
      <c r="G27" s="320">
        <f>IF(ISNONTEXT('Pojedinačni plasman'!D23)=TRUE,"",'Pojedinačni plasman'!D23)</f>
      </c>
      <c r="H27" s="282">
        <f>IF(ISNUMBER('Pojedinačni plasman'!G23)=FALSE,"",'Pojedinačni plasman'!G23)</f>
      </c>
      <c r="I27" s="61"/>
    </row>
    <row r="28" spans="1:9" ht="12.75">
      <c r="A28" s="280">
        <f>IF(ISNUMBER(F28)=FALSE,"",19)</f>
      </c>
      <c r="B28" s="297">
        <f>IF(ISNONTEXT('Pojedinačni plasman'!A24)=TRUE,"",'Pojedinačni plasman'!A24)</f>
      </c>
      <c r="C28" s="298">
        <f>IF(ISNONTEXT('Pojedinačni plasman'!B24)=TRUE,"",'Pojedinačni plasman'!B24)</f>
      </c>
      <c r="D28" s="327">
        <f>IF(ISNUMBER('Pojedinačni plasman'!E24)=FALSE,"",'Pojedinačni plasman'!E24)</f>
      </c>
      <c r="E28" s="349">
        <f>IF(ISNUMBER('Pojedinačni plasman'!F24)=FALSE,"",'Pojedinačni plasman'!F24)</f>
      </c>
      <c r="F28" s="320">
        <f>IF(ISNUMBER('Pojedinačni plasman'!C24)=FALSE,"",'Pojedinačni plasman'!C24)</f>
      </c>
      <c r="G28" s="320">
        <f>IF(ISNONTEXT('Pojedinačni plasman'!D24)=TRUE,"",'Pojedinačni plasman'!D24)</f>
      </c>
      <c r="H28" s="282">
        <f>IF(ISNUMBER('Pojedinačni plasman'!G24)=FALSE,"",'Pojedinačni plasman'!G24)</f>
      </c>
      <c r="I28" s="61"/>
    </row>
    <row r="29" spans="1:9" ht="12.75">
      <c r="A29" s="280">
        <f>IF(ISNUMBER(F29)=FALSE,"",20)</f>
      </c>
      <c r="B29" s="297">
        <f>IF(ISNONTEXT('Pojedinačni plasman'!A25)=TRUE,"",'Pojedinačni plasman'!A25)</f>
      </c>
      <c r="C29" s="298">
        <f>IF(ISNONTEXT('Pojedinačni plasman'!B25)=TRUE,"",'Pojedinačni plasman'!B25)</f>
      </c>
      <c r="D29" s="327">
        <f>IF(ISNUMBER('Pojedinačni plasman'!E25)=FALSE,"",'Pojedinačni plasman'!E25)</f>
      </c>
      <c r="E29" s="349">
        <f>IF(ISNUMBER('Pojedinačni plasman'!F25)=FALSE,"",'Pojedinačni plasman'!F25)</f>
      </c>
      <c r="F29" s="320">
        <f>IF(ISNUMBER('Pojedinačni plasman'!C25)=FALSE,"",'Pojedinačni plasman'!C25)</f>
      </c>
      <c r="G29" s="320">
        <f>IF(ISNONTEXT('Pojedinačni plasman'!D25)=TRUE,"",'Pojedinačni plasman'!D25)</f>
      </c>
      <c r="H29" s="282">
        <f>IF(ISNUMBER('Pojedinačni plasman'!G25)=FALSE,"",'Pojedinačni plasman'!G25)</f>
      </c>
      <c r="I29" s="61"/>
    </row>
    <row r="30" spans="1:9" ht="12.75">
      <c r="A30" s="280">
        <f>IF(ISNUMBER(F30)=FALSE,"",21)</f>
      </c>
      <c r="B30" s="297">
        <f>IF(ISNONTEXT('Pojedinačni plasman'!A26)=TRUE,"",'Pojedinačni plasman'!A26)</f>
      </c>
      <c r="C30" s="298">
        <f>IF(ISNONTEXT('Pojedinačni plasman'!B26)=TRUE,"",'Pojedinačni plasman'!B26)</f>
      </c>
      <c r="D30" s="327">
        <f>IF(ISNUMBER('Pojedinačni plasman'!E26)=FALSE,"",'Pojedinačni plasman'!E26)</f>
      </c>
      <c r="E30" s="349">
        <f>IF(ISNUMBER('Pojedinačni plasman'!F26)=FALSE,"",'Pojedinačni plasman'!F26)</f>
      </c>
      <c r="F30" s="320">
        <f>IF(ISNUMBER('Pojedinačni plasman'!C26)=FALSE,"",'Pojedinačni plasman'!C26)</f>
      </c>
      <c r="G30" s="320">
        <f>IF(ISNONTEXT('Pojedinačni plasman'!D26)=TRUE,"",'Pojedinačni plasman'!D26)</f>
      </c>
      <c r="H30" s="282">
        <f>IF(ISNUMBER('Pojedinačni plasman'!G26)=FALSE,"",'Pojedinačni plasman'!G26)</f>
      </c>
      <c r="I30" s="61"/>
    </row>
    <row r="31" spans="1:9" ht="12.75">
      <c r="A31" s="280">
        <f>IF(ISNUMBER(F31)=FALSE,"",22)</f>
      </c>
      <c r="B31" s="297">
        <f>IF(ISNONTEXT('Pojedinačni plasman'!A27)=TRUE,"",'Pojedinačni plasman'!A27)</f>
      </c>
      <c r="C31" s="298">
        <f>IF(ISNONTEXT('Pojedinačni plasman'!B27)=TRUE,"",'Pojedinačni plasman'!B27)</f>
      </c>
      <c r="D31" s="327">
        <f>IF(ISNUMBER('Pojedinačni plasman'!E27)=FALSE,"",'Pojedinačni plasman'!E27)</f>
      </c>
      <c r="E31" s="349">
        <f>IF(ISNUMBER('Pojedinačni plasman'!F27)=FALSE,"",'Pojedinačni plasman'!F27)</f>
      </c>
      <c r="F31" s="320">
        <f>IF(ISNUMBER('Pojedinačni plasman'!C27)=FALSE,"",'Pojedinačni plasman'!C27)</f>
      </c>
      <c r="G31" s="320">
        <f>IF(ISNONTEXT('Pojedinačni plasman'!D27)=TRUE,"",'Pojedinačni plasman'!D27)</f>
      </c>
      <c r="H31" s="282">
        <f>IF(ISNUMBER('Pojedinačni plasman'!G27)=FALSE,"",'Pojedinačni plasman'!G27)</f>
      </c>
      <c r="I31" s="61"/>
    </row>
    <row r="32" spans="1:9" ht="12.75">
      <c r="A32" s="280">
        <f>IF(ISNUMBER(F32)=FALSE,"",23)</f>
      </c>
      <c r="B32" s="297">
        <f>IF(ISNONTEXT('Pojedinačni plasman'!A28)=TRUE,"",'Pojedinačni plasman'!A28)</f>
      </c>
      <c r="C32" s="298">
        <f>IF(ISNONTEXT('Pojedinačni plasman'!B28)=TRUE,"",'Pojedinačni plasman'!B28)</f>
      </c>
      <c r="D32" s="327">
        <f>IF(ISNUMBER('Pojedinačni plasman'!E28)=FALSE,"",'Pojedinačni plasman'!E28)</f>
      </c>
      <c r="E32" s="349">
        <f>IF(ISNUMBER('Pojedinačni plasman'!F28)=FALSE,"",'Pojedinačni plasman'!F28)</f>
      </c>
      <c r="F32" s="320">
        <f>IF(ISNUMBER('Pojedinačni plasman'!C28)=FALSE,"",'Pojedinačni plasman'!C28)</f>
      </c>
      <c r="G32" s="320">
        <f>IF(ISNONTEXT('Pojedinačni plasman'!D28)=TRUE,"",'Pojedinačni plasman'!D28)</f>
      </c>
      <c r="H32" s="282">
        <f>IF(ISNUMBER('Pojedinačni plasman'!G28)=FALSE,"",'Pojedinačni plasman'!G28)</f>
      </c>
      <c r="I32" s="61"/>
    </row>
    <row r="33" spans="1:9" ht="12.75">
      <c r="A33" s="280">
        <f>IF(ISNUMBER(F33)=FALSE,"",24)</f>
      </c>
      <c r="B33" s="297">
        <f>IF(ISNONTEXT('Pojedinačni plasman'!A29)=TRUE,"",'Pojedinačni plasman'!A29)</f>
      </c>
      <c r="C33" s="298">
        <f>IF(ISNONTEXT('Pojedinačni plasman'!B29)=TRUE,"",'Pojedinačni plasman'!B29)</f>
      </c>
      <c r="D33" s="327">
        <f>IF(ISNUMBER('Pojedinačni plasman'!E29)=FALSE,"",'Pojedinačni plasman'!E29)</f>
      </c>
      <c r="E33" s="349">
        <f>IF(ISNUMBER('Pojedinačni plasman'!F29)=FALSE,"",'Pojedinačni plasman'!F29)</f>
      </c>
      <c r="F33" s="320">
        <f>IF(ISNUMBER('Pojedinačni plasman'!C29)=FALSE,"",'Pojedinačni plasman'!C29)</f>
      </c>
      <c r="G33" s="320">
        <f>IF(ISNONTEXT('Pojedinačni plasman'!D29)=TRUE,"",'Pojedinačni plasman'!D29)</f>
      </c>
      <c r="H33" s="282">
        <f>IF(ISNUMBER('Pojedinačni plasman'!G29)=FALSE,"",'Pojedinačni plasman'!G29)</f>
      </c>
      <c r="I33" s="61"/>
    </row>
    <row r="34" spans="1:9" ht="12.75">
      <c r="A34" s="280">
        <f>IF(ISNUMBER(F34)=FALSE,"",25)</f>
      </c>
      <c r="B34" s="297">
        <f>IF(ISNONTEXT('Pojedinačni plasman'!A30)=TRUE,"",'Pojedinačni plasman'!A30)</f>
      </c>
      <c r="C34" s="298">
        <f>IF(ISNONTEXT('Pojedinačni plasman'!B30)=TRUE,"",'Pojedinačni plasman'!B30)</f>
      </c>
      <c r="D34" s="327">
        <f>IF(ISNUMBER('Pojedinačni plasman'!E30)=FALSE,"",'Pojedinačni plasman'!E30)</f>
      </c>
      <c r="E34" s="349">
        <f>IF(ISNUMBER('Pojedinačni plasman'!F30)=FALSE,"",'Pojedinačni plasman'!F30)</f>
      </c>
      <c r="F34" s="320">
        <f>IF(ISNUMBER('Pojedinačni plasman'!C30)=FALSE,"",'Pojedinačni plasman'!C30)</f>
      </c>
      <c r="G34" s="320">
        <f>IF(ISNONTEXT('Pojedinačni plasman'!D30)=TRUE,"",'Pojedinačni plasman'!D30)</f>
      </c>
      <c r="H34" s="282">
        <f>IF(ISNUMBER('Pojedinačni plasman'!G30)=FALSE,"",'Pojedinačni plasman'!G30)</f>
      </c>
      <c r="I34" s="61"/>
    </row>
    <row r="35" spans="1:9" ht="12.75">
      <c r="A35" s="280">
        <f>IF(ISNUMBER(F35)=FALSE,"",26)</f>
      </c>
      <c r="B35" s="297">
        <f>IF(ISNONTEXT('Pojedinačni plasman'!A31)=TRUE,"",'Pojedinačni plasman'!A31)</f>
      </c>
      <c r="C35" s="298">
        <f>IF(ISNONTEXT('Pojedinačni plasman'!B31)=TRUE,"",'Pojedinačni plasman'!B31)</f>
      </c>
      <c r="D35" s="327">
        <f>IF(ISNUMBER('Pojedinačni plasman'!E31)=FALSE,"",'Pojedinačni plasman'!E31)</f>
      </c>
      <c r="E35" s="349">
        <f>IF(ISNUMBER('Pojedinačni plasman'!F31)=FALSE,"",'Pojedinačni plasman'!F31)</f>
      </c>
      <c r="F35" s="320">
        <f>IF(ISNUMBER('Pojedinačni plasman'!C31)=FALSE,"",'Pojedinačni plasman'!C31)</f>
      </c>
      <c r="G35" s="320">
        <f>IF(ISNONTEXT('Pojedinačni plasman'!D31)=TRUE,"",'Pojedinačni plasman'!D31)</f>
      </c>
      <c r="H35" s="282">
        <f>IF(ISNUMBER('Pojedinačni plasman'!G31)=FALSE,"",'Pojedinačni plasman'!G31)</f>
      </c>
      <c r="I35" s="61"/>
    </row>
    <row r="36" spans="1:9" ht="12.75">
      <c r="A36" s="280">
        <f>IF(ISNUMBER(F36)=FALSE,"",27)</f>
      </c>
      <c r="B36" s="297">
        <f>IF(ISNONTEXT('Pojedinačni plasman'!A32)=TRUE,"",'Pojedinačni plasman'!A32)</f>
      </c>
      <c r="C36" s="298">
        <f>IF(ISNONTEXT('Pojedinačni plasman'!B32)=TRUE,"",'Pojedinačni plasman'!B32)</f>
      </c>
      <c r="D36" s="327">
        <f>IF(ISNUMBER('Pojedinačni plasman'!E32)=FALSE,"",'Pojedinačni plasman'!E32)</f>
      </c>
      <c r="E36" s="349">
        <f>IF(ISNUMBER('Pojedinačni plasman'!F32)=FALSE,"",'Pojedinačni plasman'!F32)</f>
      </c>
      <c r="F36" s="320">
        <f>IF(ISNUMBER('Pojedinačni plasman'!C32)=FALSE,"",'Pojedinačni plasman'!C32)</f>
      </c>
      <c r="G36" s="320">
        <f>IF(ISNONTEXT('Pojedinačni plasman'!D32)=TRUE,"",'Pojedinačni plasman'!D32)</f>
      </c>
      <c r="H36" s="282">
        <f>IF(ISNUMBER('Pojedinačni plasman'!G32)=FALSE,"",'Pojedinačni plasman'!G32)</f>
      </c>
      <c r="I36" s="61"/>
    </row>
    <row r="37" spans="1:9" ht="12.75">
      <c r="A37" s="280">
        <f>IF(ISNUMBER(F37)=FALSE,"",28)</f>
      </c>
      <c r="B37" s="297">
        <f>IF(ISNONTEXT('Pojedinačni plasman'!A33)=TRUE,"",'Pojedinačni plasman'!A33)</f>
      </c>
      <c r="C37" s="298">
        <f>IF(ISNONTEXT('Pojedinačni plasman'!B33)=TRUE,"",'Pojedinačni plasman'!B33)</f>
      </c>
      <c r="D37" s="327">
        <f>IF(ISNUMBER('Pojedinačni plasman'!E33)=FALSE,"",'Pojedinačni plasman'!E33)</f>
      </c>
      <c r="E37" s="349">
        <f>IF(ISNUMBER('Pojedinačni plasman'!F33)=FALSE,"",'Pojedinačni plasman'!F33)</f>
      </c>
      <c r="F37" s="320">
        <f>IF(ISNUMBER('Pojedinačni plasman'!C33)=FALSE,"",'Pojedinačni plasman'!C33)</f>
      </c>
      <c r="G37" s="320">
        <f>IF(ISNONTEXT('Pojedinačni plasman'!D33)=TRUE,"",'Pojedinačni plasman'!D33)</f>
      </c>
      <c r="H37" s="282">
        <f>IF(ISNUMBER('Pojedinačni plasman'!G33)=FALSE,"",'Pojedinačni plasman'!G33)</f>
      </c>
      <c r="I37" s="61"/>
    </row>
    <row r="38" spans="1:9" ht="12.75">
      <c r="A38" s="280">
        <f>IF(ISNUMBER(F38)=FALSE,"",29)</f>
      </c>
      <c r="B38" s="297">
        <f>IF(ISNONTEXT('Pojedinačni plasman'!A34)=TRUE,"",'Pojedinačni plasman'!A34)</f>
      </c>
      <c r="C38" s="298">
        <f>IF(ISNONTEXT('Pojedinačni plasman'!B34)=TRUE,"",'Pojedinačni plasman'!B34)</f>
      </c>
      <c r="D38" s="327">
        <f>IF(ISNUMBER('Pojedinačni plasman'!E34)=FALSE,"",'Pojedinačni plasman'!E34)</f>
      </c>
      <c r="E38" s="349">
        <f>IF(ISNUMBER('Pojedinačni plasman'!F34)=FALSE,"",'Pojedinačni plasman'!F34)</f>
      </c>
      <c r="F38" s="320">
        <f>IF(ISNUMBER('Pojedinačni plasman'!C34)=FALSE,"",'Pojedinačni plasman'!C34)</f>
      </c>
      <c r="G38" s="320">
        <f>IF(ISNONTEXT('Pojedinačni plasman'!D34)=TRUE,"",'Pojedinačni plasman'!D34)</f>
      </c>
      <c r="H38" s="282">
        <f>IF(ISNUMBER('Pojedinačni plasman'!G34)=FALSE,"",'Pojedinačni plasman'!G34)</f>
      </c>
      <c r="I38" s="61"/>
    </row>
    <row r="39" spans="1:9" ht="12.75">
      <c r="A39" s="280">
        <f>IF(ISNUMBER(F39)=FALSE,"",30)</f>
      </c>
      <c r="B39" s="297">
        <f>IF(ISNONTEXT('Pojedinačni plasman'!A35)=TRUE,"",'Pojedinačni plasman'!A35)</f>
      </c>
      <c r="C39" s="298">
        <f>IF(ISNONTEXT('Pojedinačni plasman'!B35)=TRUE,"",'Pojedinačni plasman'!B35)</f>
      </c>
      <c r="D39" s="327">
        <f>IF(ISNUMBER('Pojedinačni plasman'!E35)=FALSE,"",'Pojedinačni plasman'!E35)</f>
      </c>
      <c r="E39" s="349">
        <f>IF(ISNUMBER('Pojedinačni plasman'!F35)=FALSE,"",'Pojedinačni plasman'!F35)</f>
      </c>
      <c r="F39" s="320">
        <f>IF(ISNUMBER('Pojedinačni plasman'!C35)=FALSE,"",'Pojedinačni plasman'!C35)</f>
      </c>
      <c r="G39" s="320">
        <f>IF(ISNONTEXT('Pojedinačni plasman'!D35)=TRUE,"",'Pojedinačni plasman'!D35)</f>
      </c>
      <c r="H39" s="282">
        <f>IF(ISNUMBER('Pojedinačni plasman'!G35)=FALSE,"",'Pojedinačni plasman'!G35)</f>
      </c>
      <c r="I39" s="61"/>
    </row>
    <row r="40" spans="1:9" ht="12.75">
      <c r="A40" s="280">
        <f>IF(ISNUMBER(F40)=FALSE,"",31)</f>
      </c>
      <c r="B40" s="297">
        <f>IF(ISNONTEXT('Pojedinačni plasman'!A36)=TRUE,"",'Pojedinačni plasman'!A36)</f>
      </c>
      <c r="C40" s="298">
        <f>IF(ISNONTEXT('Pojedinačni plasman'!B36)=TRUE,"",'Pojedinačni plasman'!B36)</f>
      </c>
      <c r="D40" s="327">
        <f>IF(ISNUMBER('Pojedinačni plasman'!E36)=FALSE,"",'Pojedinačni plasman'!E36)</f>
      </c>
      <c r="E40" s="349">
        <f>IF(ISNUMBER('Pojedinačni plasman'!F36)=FALSE,"",'Pojedinačni plasman'!F36)</f>
      </c>
      <c r="F40" s="320">
        <f>IF(ISNUMBER('Pojedinačni plasman'!C36)=FALSE,"",'Pojedinačni plasman'!C36)</f>
      </c>
      <c r="G40" s="320">
        <f>IF(ISNONTEXT('Pojedinačni plasman'!D36)=TRUE,"",'Pojedinačni plasman'!D36)</f>
      </c>
      <c r="H40" s="282">
        <f>IF(ISNUMBER('Pojedinačni plasman'!G36)=FALSE,"",'Pojedinačni plasman'!G36)</f>
      </c>
      <c r="I40" s="61"/>
    </row>
    <row r="41" spans="1:9" ht="12.75">
      <c r="A41" s="280">
        <f>IF(ISNUMBER(F41)=FALSE,"",32)</f>
      </c>
      <c r="B41" s="297">
        <f>IF(ISNONTEXT('Pojedinačni plasman'!A37)=TRUE,"",'Pojedinačni plasman'!A37)</f>
      </c>
      <c r="C41" s="298">
        <f>IF(ISNONTEXT('Pojedinačni plasman'!B37)=TRUE,"",'Pojedinačni plasman'!B37)</f>
      </c>
      <c r="D41" s="327">
        <f>IF(ISNUMBER('Pojedinačni plasman'!E37)=FALSE,"",'Pojedinačni plasman'!E37)</f>
      </c>
      <c r="E41" s="349">
        <f>IF(ISNUMBER('Pojedinačni plasman'!F37)=FALSE,"",'Pojedinačni plasman'!F37)</f>
      </c>
      <c r="F41" s="320">
        <f>IF(ISNUMBER('Pojedinačni plasman'!C37)=FALSE,"",'Pojedinačni plasman'!C37)</f>
      </c>
      <c r="G41" s="320">
        <f>IF(ISNONTEXT('Pojedinačni plasman'!D37)=TRUE,"",'Pojedinačni plasman'!D37)</f>
      </c>
      <c r="H41" s="282">
        <f>IF(ISNUMBER('Pojedinačni plasman'!G37)=FALSE,"",'Pojedinačni plasman'!G37)</f>
      </c>
      <c r="I41" s="61"/>
    </row>
    <row r="42" spans="1:9" ht="12.75">
      <c r="A42" s="280">
        <f>IF(ISNUMBER(F42)=FALSE,"",33)</f>
      </c>
      <c r="B42" s="297">
        <f>IF(ISNONTEXT('Pojedinačni plasman'!A38)=TRUE,"",'Pojedinačni plasman'!A38)</f>
      </c>
      <c r="C42" s="298">
        <f>IF(ISNONTEXT('Pojedinačni plasman'!B38)=TRUE,"",'Pojedinačni plasman'!B38)</f>
      </c>
      <c r="D42" s="327">
        <f>IF(ISNUMBER('Pojedinačni plasman'!E38)=FALSE,"",'Pojedinačni plasman'!E38)</f>
      </c>
      <c r="E42" s="349">
        <f>IF(ISNUMBER('Pojedinačni plasman'!F38)=FALSE,"",'Pojedinačni plasman'!F38)</f>
      </c>
      <c r="F42" s="320">
        <f>IF(ISNUMBER('Pojedinačni plasman'!C38)=FALSE,"",'Pojedinačni plasman'!C38)</f>
      </c>
      <c r="G42" s="320">
        <f>IF(ISNONTEXT('Pojedinačni plasman'!D38)=TRUE,"",'Pojedinačni plasman'!D38)</f>
      </c>
      <c r="H42" s="282">
        <f>IF(ISNUMBER('Pojedinačni plasman'!G38)=FALSE,"",'Pojedinačni plasman'!G38)</f>
      </c>
      <c r="I42" s="61"/>
    </row>
    <row r="43" spans="1:9" ht="12.75">
      <c r="A43" s="280">
        <f>IF(ISNUMBER(F43)=FALSE,"",34)</f>
      </c>
      <c r="B43" s="297">
        <f>IF(ISNONTEXT('Pojedinačni plasman'!A39)=TRUE,"",'Pojedinačni plasman'!A39)</f>
      </c>
      <c r="C43" s="298">
        <f>IF(ISNONTEXT('Pojedinačni plasman'!B39)=TRUE,"",'Pojedinačni plasman'!B39)</f>
      </c>
      <c r="D43" s="327">
        <f>IF(ISNUMBER('Pojedinačni plasman'!E39)=FALSE,"",'Pojedinačni plasman'!E39)</f>
      </c>
      <c r="E43" s="349">
        <f>IF(ISNUMBER('Pojedinačni plasman'!F39)=FALSE,"",'Pojedinačni plasman'!F39)</f>
      </c>
      <c r="F43" s="320">
        <f>IF(ISNUMBER('Pojedinačni plasman'!C39)=FALSE,"",'Pojedinačni plasman'!C39)</f>
      </c>
      <c r="G43" s="320">
        <f>IF(ISNONTEXT('Pojedinačni plasman'!D39)=TRUE,"",'Pojedinačni plasman'!D39)</f>
      </c>
      <c r="H43" s="282">
        <f>IF(ISNUMBER('Pojedinačni plasman'!G39)=FALSE,"",'Pojedinačni plasman'!G39)</f>
      </c>
      <c r="I43" s="61"/>
    </row>
    <row r="44" spans="1:9" ht="12.75">
      <c r="A44" s="280">
        <f>IF(ISNUMBER(F44)=FALSE,"",35)</f>
      </c>
      <c r="B44" s="297">
        <f>IF(ISNONTEXT('Pojedinačni plasman'!A40)=TRUE,"",'Pojedinačni plasman'!A40)</f>
      </c>
      <c r="C44" s="298">
        <f>IF(ISNONTEXT('Pojedinačni plasman'!B40)=TRUE,"",'Pojedinačni plasman'!B40)</f>
      </c>
      <c r="D44" s="327">
        <f>IF(ISNUMBER('Pojedinačni plasman'!E40)=FALSE,"",'Pojedinačni plasman'!E40)</f>
      </c>
      <c r="E44" s="349">
        <f>IF(ISNUMBER('Pojedinačni plasman'!F40)=FALSE,"",'Pojedinačni plasman'!F40)</f>
      </c>
      <c r="F44" s="320">
        <f>IF(ISNUMBER('Pojedinačni plasman'!C40)=FALSE,"",'Pojedinačni plasman'!C40)</f>
      </c>
      <c r="G44" s="320">
        <f>IF(ISNONTEXT('Pojedinačni plasman'!D40)=TRUE,"",'Pojedinačni plasman'!D40)</f>
      </c>
      <c r="H44" s="282">
        <f>IF(ISNUMBER('Pojedinačni plasman'!G40)=FALSE,"",'Pojedinačni plasman'!G40)</f>
      </c>
      <c r="I44" s="61"/>
    </row>
    <row r="45" spans="1:9" ht="12.75">
      <c r="A45" s="280">
        <f>IF(ISNUMBER(F45)=FALSE,"",36)</f>
      </c>
      <c r="B45" s="297">
        <f>IF(ISNONTEXT('Pojedinačni plasman'!A41)=TRUE,"",'Pojedinačni plasman'!A41)</f>
      </c>
      <c r="C45" s="298">
        <f>IF(ISNONTEXT('Pojedinačni plasman'!B41)=TRUE,"",'Pojedinačni plasman'!B41)</f>
      </c>
      <c r="D45" s="327">
        <f>IF(ISNUMBER('Pojedinačni plasman'!E41)=FALSE,"",'Pojedinačni plasman'!E41)</f>
      </c>
      <c r="E45" s="349">
        <f>IF(ISNUMBER('Pojedinačni plasman'!F41)=FALSE,"",'Pojedinačni plasman'!F41)</f>
      </c>
      <c r="F45" s="320">
        <f>IF(ISNUMBER('Pojedinačni plasman'!C41)=FALSE,"",'Pojedinačni plasman'!C41)</f>
      </c>
      <c r="G45" s="320">
        <f>IF(ISNONTEXT('Pojedinačni plasman'!D41)=TRUE,"",'Pojedinačni plasman'!D41)</f>
      </c>
      <c r="H45" s="282">
        <f>IF(ISNUMBER('Pojedinačni plasman'!G41)=FALSE,"",'Pojedinačni plasman'!G41)</f>
      </c>
      <c r="I45" s="61"/>
    </row>
    <row r="46" spans="1:9" ht="12.75">
      <c r="A46" s="280">
        <f>IF(ISNUMBER(F46)=FALSE,"",37)</f>
      </c>
      <c r="B46" s="297">
        <f>IF(ISNONTEXT('Pojedinačni plasman'!A42)=TRUE,"",'Pojedinačni plasman'!A42)</f>
      </c>
      <c r="C46" s="298">
        <f>IF(ISNONTEXT('Pojedinačni plasman'!B42)=TRUE,"",'Pojedinačni plasman'!B42)</f>
      </c>
      <c r="D46" s="327">
        <f>IF(ISNUMBER('Pojedinačni plasman'!E42)=FALSE,"",'Pojedinačni plasman'!E42)</f>
      </c>
      <c r="E46" s="349">
        <f>IF(ISNUMBER('Pojedinačni plasman'!F42)=FALSE,"",'Pojedinačni plasman'!F42)</f>
      </c>
      <c r="F46" s="320">
        <f>IF(ISNUMBER('Pojedinačni plasman'!C42)=FALSE,"",'Pojedinačni plasman'!C42)</f>
      </c>
      <c r="G46" s="320">
        <f>IF(ISNONTEXT('Pojedinačni plasman'!D42)=TRUE,"",'Pojedinačni plasman'!D42)</f>
      </c>
      <c r="H46" s="282">
        <f>IF(ISNUMBER('Pojedinačni plasman'!G42)=FALSE,"",'Pojedinačni plasman'!G42)</f>
      </c>
      <c r="I46" s="61"/>
    </row>
    <row r="47" spans="1:9" ht="12.75">
      <c r="A47" s="280">
        <f>IF(ISNUMBER(F47)=FALSE,"",38)</f>
      </c>
      <c r="B47" s="297">
        <f>IF(ISNONTEXT('Pojedinačni plasman'!A43)=TRUE,"",'Pojedinačni plasman'!A43)</f>
      </c>
      <c r="C47" s="298">
        <f>IF(ISNONTEXT('Pojedinačni plasman'!B43)=TRUE,"",'Pojedinačni plasman'!B43)</f>
      </c>
      <c r="D47" s="327">
        <f>IF(ISNUMBER('Pojedinačni plasman'!E43)=FALSE,"",'Pojedinačni plasman'!E43)</f>
      </c>
      <c r="E47" s="349">
        <f>IF(ISNUMBER('Pojedinačni plasman'!F43)=FALSE,"",'Pojedinačni plasman'!F43)</f>
      </c>
      <c r="F47" s="320">
        <f>IF(ISNUMBER('Pojedinačni plasman'!C43)=FALSE,"",'Pojedinačni plasman'!C43)</f>
      </c>
      <c r="G47" s="320">
        <f>IF(ISNONTEXT('Pojedinačni plasman'!D43)=TRUE,"",'Pojedinačni plasman'!D43)</f>
      </c>
      <c r="H47" s="282">
        <f>IF(ISNUMBER('Pojedinačni plasman'!G43)=FALSE,"",'Pojedinačni plasman'!G43)</f>
      </c>
      <c r="I47" s="61"/>
    </row>
    <row r="48" spans="1:9" ht="12.75">
      <c r="A48" s="280">
        <f>IF(ISNUMBER(F48)=FALSE,"",39)</f>
      </c>
      <c r="B48" s="297">
        <f>IF(ISNONTEXT('Pojedinačni plasman'!A44)=TRUE,"",'Pojedinačni plasman'!A44)</f>
      </c>
      <c r="C48" s="298">
        <f>IF(ISNONTEXT('Pojedinačni plasman'!B44)=TRUE,"",'Pojedinačni plasman'!B44)</f>
      </c>
      <c r="D48" s="327">
        <f>IF(ISNUMBER('Pojedinačni plasman'!E44)=FALSE,"",'Pojedinačni plasman'!E44)</f>
      </c>
      <c r="E48" s="349">
        <f>IF(ISNUMBER('Pojedinačni plasman'!F44)=FALSE,"",'Pojedinačni plasman'!F44)</f>
      </c>
      <c r="F48" s="320">
        <f>IF(ISNUMBER('Pojedinačni plasman'!C44)=FALSE,"",'Pojedinačni plasman'!C44)</f>
      </c>
      <c r="G48" s="320">
        <f>IF(ISNONTEXT('Pojedinačni plasman'!D44)=TRUE,"",'Pojedinačni plasman'!D44)</f>
      </c>
      <c r="H48" s="282">
        <f>IF(ISNUMBER('Pojedinačni plasman'!G44)=FALSE,"",'Pojedinačni plasman'!G44)</f>
      </c>
      <c r="I48" s="61"/>
    </row>
    <row r="49" spans="1:9" ht="12.75">
      <c r="A49" s="280">
        <f>IF(ISNUMBER(F49)=FALSE,"",40)</f>
      </c>
      <c r="B49" s="297">
        <f>IF(ISNONTEXT('Pojedinačni plasman'!A45)=TRUE,"",'Pojedinačni plasman'!A45)</f>
      </c>
      <c r="C49" s="298">
        <f>IF(ISNONTEXT('Pojedinačni plasman'!B45)=TRUE,"",'Pojedinačni plasman'!B45)</f>
      </c>
      <c r="D49" s="327">
        <f>IF(ISNUMBER('Pojedinačni plasman'!E45)=FALSE,"",'Pojedinačni plasman'!E45)</f>
      </c>
      <c r="E49" s="349">
        <f>IF(ISNUMBER('Pojedinačni plasman'!F45)=FALSE,"",'Pojedinačni plasman'!F45)</f>
      </c>
      <c r="F49" s="320">
        <f>IF(ISNUMBER('Pojedinačni plasman'!C45)=FALSE,"",'Pojedinačni plasman'!C45)</f>
      </c>
      <c r="G49" s="320">
        <f>IF(ISNONTEXT('Pojedinačni plasman'!D45)=TRUE,"",'Pojedinačni plasman'!D45)</f>
      </c>
      <c r="H49" s="282">
        <f>IF(ISNUMBER('Pojedinačni plasman'!G45)=FALSE,"",'Pojedinačni plasman'!G45)</f>
      </c>
      <c r="I49" s="61"/>
    </row>
    <row r="50" spans="1:9" ht="12.75">
      <c r="A50" s="280">
        <f>IF(ISNUMBER(F50)=FALSE,"",41)</f>
      </c>
      <c r="B50" s="297">
        <f>IF(ISNONTEXT('Pojedinačni plasman'!A46)=TRUE,"",'Pojedinačni plasman'!A46)</f>
      </c>
      <c r="C50" s="298">
        <f>IF(ISNONTEXT('Pojedinačni plasman'!B46)=TRUE,"",'Pojedinačni plasman'!B46)</f>
      </c>
      <c r="D50" s="327">
        <f>IF(ISNUMBER('Pojedinačni plasman'!E46)=FALSE,"",'Pojedinačni plasman'!E46)</f>
      </c>
      <c r="E50" s="349">
        <f>IF(ISNUMBER('Pojedinačni plasman'!F46)=FALSE,"",'Pojedinačni plasman'!F46)</f>
      </c>
      <c r="F50" s="320">
        <f>IF(ISNUMBER('Pojedinačni plasman'!C46)=FALSE,"",'Pojedinačni plasman'!C46)</f>
      </c>
      <c r="G50" s="320">
        <f>IF(ISNONTEXT('Pojedinačni plasman'!D46)=TRUE,"",'Pojedinačni plasman'!D46)</f>
      </c>
      <c r="H50" s="282">
        <f>IF(ISNUMBER('Pojedinačni plasman'!G46)=FALSE,"",'Pojedinačni plasman'!G46)</f>
      </c>
      <c r="I50" s="61"/>
    </row>
    <row r="51" spans="1:9" ht="12.75">
      <c r="A51" s="280">
        <f>IF(ISNUMBER(F51)=FALSE,"",42)</f>
      </c>
      <c r="B51" s="297">
        <f>IF(ISNONTEXT('Pojedinačni plasman'!A47)=TRUE,"",'Pojedinačni plasman'!A47)</f>
      </c>
      <c r="C51" s="298">
        <f>IF(ISNONTEXT('Pojedinačni plasman'!B47)=TRUE,"",'Pojedinačni plasman'!B47)</f>
      </c>
      <c r="D51" s="327">
        <f>IF(ISNUMBER('Pojedinačni plasman'!E47)=FALSE,"",'Pojedinačni plasman'!E47)</f>
      </c>
      <c r="E51" s="349">
        <f>IF(ISNUMBER('Pojedinačni plasman'!F47)=FALSE,"",'Pojedinačni plasman'!F47)</f>
      </c>
      <c r="F51" s="320">
        <f>IF(ISNUMBER('Pojedinačni plasman'!C47)=FALSE,"",'Pojedinačni plasman'!C47)</f>
      </c>
      <c r="G51" s="320">
        <f>IF(ISNONTEXT('Pojedinačni plasman'!D47)=TRUE,"",'Pojedinačni plasman'!D47)</f>
      </c>
      <c r="H51" s="282">
        <f>IF(ISNUMBER('Pojedinačni plasman'!G47)=FALSE,"",'Pojedinačni plasman'!G47)</f>
      </c>
      <c r="I51" s="61"/>
    </row>
    <row r="52" spans="1:9" ht="12.75">
      <c r="A52" s="280">
        <f>IF(ISNUMBER(F52)=FALSE,"",43)</f>
      </c>
      <c r="B52" s="297">
        <f>IF(ISNONTEXT('Pojedinačni plasman'!A48)=TRUE,"",'Pojedinačni plasman'!A48)</f>
      </c>
      <c r="C52" s="298">
        <f>IF(ISNONTEXT('Pojedinačni plasman'!B48)=TRUE,"",'Pojedinačni plasman'!B48)</f>
      </c>
      <c r="D52" s="327">
        <f>IF(ISNUMBER('Pojedinačni plasman'!E48)=FALSE,"",'Pojedinačni plasman'!E48)</f>
      </c>
      <c r="E52" s="349">
        <f>IF(ISNUMBER('Pojedinačni plasman'!F48)=FALSE,"",'Pojedinačni plasman'!F48)</f>
      </c>
      <c r="F52" s="320">
        <f>IF(ISNUMBER('Pojedinačni plasman'!C48)=FALSE,"",'Pojedinačni plasman'!C48)</f>
      </c>
      <c r="G52" s="320">
        <f>IF(ISNONTEXT('Pojedinačni plasman'!D48)=TRUE,"",'Pojedinačni plasman'!D48)</f>
      </c>
      <c r="H52" s="282">
        <f>IF(ISNUMBER('Pojedinačni plasman'!G48)=FALSE,"",'Pojedinačni plasman'!G48)</f>
      </c>
      <c r="I52" s="61"/>
    </row>
    <row r="53" spans="1:9" ht="12.75">
      <c r="A53" s="280">
        <f>IF(ISNUMBER(F53)=FALSE,"",44)</f>
      </c>
      <c r="B53" s="297">
        <f>IF(ISNONTEXT('Pojedinačni plasman'!A49)=TRUE,"",'Pojedinačni plasman'!A49)</f>
      </c>
      <c r="C53" s="298">
        <f>IF(ISNONTEXT('Pojedinačni plasman'!B49)=TRUE,"",'Pojedinačni plasman'!B49)</f>
      </c>
      <c r="D53" s="327">
        <f>IF(ISNUMBER('Pojedinačni plasman'!E49)=FALSE,"",'Pojedinačni plasman'!E49)</f>
      </c>
      <c r="E53" s="349">
        <f>IF(ISNUMBER('Pojedinačni plasman'!F49)=FALSE,"",'Pojedinačni plasman'!F49)</f>
      </c>
      <c r="F53" s="320">
        <f>IF(ISNUMBER('Pojedinačni plasman'!C49)=FALSE,"",'Pojedinačni plasman'!C49)</f>
      </c>
      <c r="G53" s="320">
        <f>IF(ISNONTEXT('Pojedinačni plasman'!D49)=TRUE,"",'Pojedinačni plasman'!D49)</f>
      </c>
      <c r="H53" s="282">
        <f>IF(ISNUMBER('Pojedinačni plasman'!G49)=FALSE,"",'Pojedinačni plasman'!G49)</f>
      </c>
      <c r="I53" s="61"/>
    </row>
    <row r="54" spans="1:9" ht="12.75">
      <c r="A54" s="280">
        <f>IF(ISNUMBER(F54)=FALSE,"",45)</f>
      </c>
      <c r="B54" s="297">
        <f>IF(ISNONTEXT('Pojedinačni plasman'!A50)=TRUE,"",'Pojedinačni plasman'!A50)</f>
      </c>
      <c r="C54" s="298">
        <f>IF(ISNONTEXT('Pojedinačni plasman'!B50)=TRUE,"",'Pojedinačni plasman'!B50)</f>
      </c>
      <c r="D54" s="327">
        <f>IF(ISNUMBER('Pojedinačni plasman'!E50)=FALSE,"",'Pojedinačni plasman'!E50)</f>
      </c>
      <c r="E54" s="349">
        <f>IF(ISNUMBER('Pojedinačni plasman'!F50)=FALSE,"",'Pojedinačni plasman'!F50)</f>
      </c>
      <c r="F54" s="320">
        <f>IF(ISNUMBER('Pojedinačni plasman'!C50)=FALSE,"",'Pojedinačni plasman'!C50)</f>
      </c>
      <c r="G54" s="320">
        <f>IF(ISNONTEXT('Pojedinačni plasman'!D50)=TRUE,"",'Pojedinačni plasman'!D50)</f>
      </c>
      <c r="H54" s="282">
        <f>IF(ISNUMBER('Pojedinačni plasman'!G50)=FALSE,"",'Pojedinačni plasman'!G50)</f>
      </c>
      <c r="I54" s="61"/>
    </row>
    <row r="55" spans="1:9" ht="12.75">
      <c r="A55" s="280">
        <f>IF(ISNUMBER(F55)=FALSE,"",46)</f>
      </c>
      <c r="B55" s="297">
        <f>IF(ISNONTEXT('Pojedinačni plasman'!A51)=TRUE,"",'Pojedinačni plasman'!A51)</f>
      </c>
      <c r="C55" s="298">
        <f>IF(ISNONTEXT('Pojedinačni plasman'!B51)=TRUE,"",'Pojedinačni plasman'!B51)</f>
      </c>
      <c r="D55" s="327">
        <f>IF(ISNUMBER('Pojedinačni plasman'!E51)=FALSE,"",'Pojedinačni plasman'!E51)</f>
      </c>
      <c r="E55" s="349">
        <f>IF(ISNUMBER('Pojedinačni plasman'!F51)=FALSE,"",'Pojedinačni plasman'!F51)</f>
      </c>
      <c r="F55" s="320">
        <f>IF(ISNUMBER('Pojedinačni plasman'!C51)=FALSE,"",'Pojedinačni plasman'!C51)</f>
      </c>
      <c r="G55" s="320">
        <f>IF(ISNONTEXT('Pojedinačni plasman'!D51)=TRUE,"",'Pojedinačni plasman'!D51)</f>
      </c>
      <c r="H55" s="282">
        <f>IF(ISNUMBER('Pojedinačni plasman'!G51)=FALSE,"",'Pojedinačni plasman'!G51)</f>
      </c>
      <c r="I55" s="61"/>
    </row>
    <row r="56" spans="1:9" ht="12.75">
      <c r="A56" s="280">
        <f>IF(ISNUMBER(F56)=FALSE,"",47)</f>
      </c>
      <c r="B56" s="297">
        <f>IF(ISNONTEXT('Pojedinačni plasman'!A52)=TRUE,"",'Pojedinačni plasman'!A52)</f>
      </c>
      <c r="C56" s="298">
        <f>IF(ISNONTEXT('Pojedinačni plasman'!B52)=TRUE,"",'Pojedinačni plasman'!B52)</f>
      </c>
      <c r="D56" s="327">
        <f>IF(ISNUMBER('Pojedinačni plasman'!E52)=FALSE,"",'Pojedinačni plasman'!E52)</f>
      </c>
      <c r="E56" s="349">
        <f>IF(ISNUMBER('Pojedinačni plasman'!F52)=FALSE,"",'Pojedinačni plasman'!F52)</f>
      </c>
      <c r="F56" s="320">
        <f>IF(ISNUMBER('Pojedinačni plasman'!C52)=FALSE,"",'Pojedinačni plasman'!C52)</f>
      </c>
      <c r="G56" s="320">
        <f>IF(ISNONTEXT('Pojedinačni plasman'!D52)=TRUE,"",'Pojedinačni plasman'!D52)</f>
      </c>
      <c r="H56" s="282">
        <f>IF(ISNUMBER('Pojedinačni plasman'!G52)=FALSE,"",'Pojedinačni plasman'!G52)</f>
      </c>
      <c r="I56" s="61"/>
    </row>
    <row r="57" spans="1:9" ht="12.75">
      <c r="A57" s="280">
        <f>IF(ISNUMBER(F57)=FALSE,"",48)</f>
      </c>
      <c r="B57" s="297">
        <f>IF(ISNONTEXT('Pojedinačni plasman'!A53)=TRUE,"",'Pojedinačni plasman'!A53)</f>
      </c>
      <c r="C57" s="298">
        <f>IF(ISNONTEXT('Pojedinačni plasman'!B53)=TRUE,"",'Pojedinačni plasman'!B53)</f>
      </c>
      <c r="D57" s="327">
        <f>IF(ISNUMBER('Pojedinačni plasman'!E53)=FALSE,"",'Pojedinačni plasman'!E53)</f>
      </c>
      <c r="E57" s="349">
        <f>IF(ISNUMBER('Pojedinačni plasman'!F53)=FALSE,"",'Pojedinačni plasman'!F53)</f>
      </c>
      <c r="F57" s="320">
        <f>IF(ISNUMBER('Pojedinačni plasman'!C53)=FALSE,"",'Pojedinačni plasman'!C53)</f>
      </c>
      <c r="G57" s="320">
        <f>IF(ISNONTEXT('Pojedinačni plasman'!D53)=TRUE,"",'Pojedinačni plasman'!D53)</f>
      </c>
      <c r="H57" s="282">
        <f>IF(ISNUMBER('Pojedinačni plasman'!G53)=FALSE,"",'Pojedinačni plasman'!G53)</f>
      </c>
      <c r="I57" s="61"/>
    </row>
    <row r="58" spans="1:9" ht="12.75">
      <c r="A58" s="280">
        <f>IF(ISNUMBER(F58)=FALSE,"",49)</f>
      </c>
      <c r="B58" s="297">
        <f>IF(ISNONTEXT('Pojedinačni plasman'!A54)=TRUE,"",'Pojedinačni plasman'!A54)</f>
      </c>
      <c r="C58" s="298">
        <f>IF(ISNONTEXT('Pojedinačni plasman'!B54)=TRUE,"",'Pojedinačni plasman'!B54)</f>
      </c>
      <c r="D58" s="327">
        <f>IF(ISNUMBER('Pojedinačni plasman'!E54)=FALSE,"",'Pojedinačni plasman'!E54)</f>
      </c>
      <c r="E58" s="349">
        <f>IF(ISNUMBER('Pojedinačni plasman'!F54)=FALSE,"",'Pojedinačni plasman'!F54)</f>
      </c>
      <c r="F58" s="320">
        <f>IF(ISNUMBER('Pojedinačni plasman'!C54)=FALSE,"",'Pojedinačni plasman'!C54)</f>
      </c>
      <c r="G58" s="320">
        <f>IF(ISNONTEXT('Pojedinačni plasman'!D54)=TRUE,"",'Pojedinačni plasman'!D54)</f>
      </c>
      <c r="H58" s="282">
        <f>IF(ISNUMBER('Pojedinačni plasman'!G54)=FALSE,"",'Pojedinačni plasman'!G54)</f>
      </c>
      <c r="I58" s="61"/>
    </row>
    <row r="59" spans="1:9" ht="12.75">
      <c r="A59" s="283">
        <f>IF(ISNUMBER(F59)=FALSE,"",50)</f>
      </c>
      <c r="B59" s="293">
        <f>IF(ISNONTEXT('Pojedinačni plasman'!A55)=TRUE,"",'Pojedinačni plasman'!A55)</f>
      </c>
      <c r="C59" s="294">
        <f>IF(ISNONTEXT('Pojedinačni plasman'!B55)=TRUE,"",'Pojedinačni plasman'!B55)</f>
      </c>
      <c r="D59" s="328">
        <f>IF(ISNUMBER('Pojedinačni plasman'!E55)=FALSE,"",'Pojedinačni plasman'!E55)</f>
      </c>
      <c r="E59" s="350">
        <f>IF(ISNUMBER('Pojedinačni plasman'!F55)=FALSE,"",'Pojedinačni plasman'!F55)</f>
      </c>
      <c r="F59" s="321">
        <f>IF(ISNUMBER('Pojedinačni plasman'!C55)=FALSE,"",'Pojedinačni plasman'!C55)</f>
      </c>
      <c r="G59" s="321">
        <f>IF(ISNONTEXT('Pojedinačni plasman'!D55)=TRUE,"",'Pojedinačni plasman'!D55)</f>
      </c>
      <c r="H59" s="285">
        <f>IF(ISNUMBER('Pojedinačni plasman'!G55)=FALSE,"",'Pojedinačni plasman'!G55)</f>
      </c>
      <c r="I59" s="61"/>
    </row>
    <row r="60" spans="1:9" ht="12.75">
      <c r="A60" s="27"/>
      <c r="B60" s="134"/>
      <c r="C60" s="134"/>
      <c r="D60" s="27"/>
      <c r="E60" s="27"/>
      <c r="F60" s="135"/>
      <c r="G60" s="135"/>
      <c r="H60" s="136"/>
      <c r="I60" s="61"/>
    </row>
    <row r="61" spans="1:9" ht="12.75" customHeight="1">
      <c r="A61" s="466" t="s">
        <v>186</v>
      </c>
      <c r="B61" s="315" t="s">
        <v>21</v>
      </c>
      <c r="C61" s="315" t="s">
        <v>20</v>
      </c>
      <c r="D61" s="305" t="s">
        <v>190</v>
      </c>
      <c r="E61" s="316" t="s">
        <v>92</v>
      </c>
      <c r="F61" s="317" t="s">
        <v>191</v>
      </c>
      <c r="G61" s="317" t="s">
        <v>23</v>
      </c>
      <c r="H61" s="318" t="s">
        <v>181</v>
      </c>
      <c r="I61" s="59"/>
    </row>
    <row r="62" spans="1:9" ht="12.75">
      <c r="A62" s="280">
        <f>IF(ISNUMBER(F62)=FALSE,"",51)</f>
      </c>
      <c r="B62" s="297">
        <f>IF(ISNONTEXT('Pojedinačni plasman'!A56)=TRUE,"",'Pojedinačni plasman'!A56)</f>
      </c>
      <c r="C62" s="298">
        <f>IF(ISNONTEXT('Pojedinačni plasman'!B56)=TRUE,"",'Pojedinačni plasman'!B56)</f>
      </c>
      <c r="D62" s="327">
        <f>IF(ISNUMBER('Pojedinačni plasman'!E56)=FALSE,"",'Pojedinačni plasman'!E56)</f>
      </c>
      <c r="E62" s="349">
        <f>IF(ISNUMBER('Pojedinačni plasman'!F56)=FALSE,"",'Pojedinačni plasman'!F56)</f>
      </c>
      <c r="F62" s="320">
        <f>IF(ISNUMBER('Pojedinačni plasman'!C56)=FALSE,"",'Pojedinačni plasman'!C56)</f>
      </c>
      <c r="G62" s="320">
        <f>IF(ISNONTEXT('Pojedinačni plasman'!D56)=TRUE,"",'Pojedinačni plasman'!D56)</f>
      </c>
      <c r="H62" s="282">
        <f>IF(ISNUMBER('Pojedinačni plasman'!G56)=FALSE,"",'Pojedinačni plasman'!G56)</f>
      </c>
      <c r="I62" s="61"/>
    </row>
    <row r="63" spans="1:9" ht="12.75">
      <c r="A63" s="280">
        <f>IF(ISNUMBER(F63)=FALSE,"",52)</f>
      </c>
      <c r="B63" s="297">
        <f>IF(ISNONTEXT('Pojedinačni plasman'!A57)=TRUE,"",'Pojedinačni plasman'!A57)</f>
      </c>
      <c r="C63" s="298">
        <f>IF(ISNONTEXT('Pojedinačni plasman'!B57)=TRUE,"",'Pojedinačni plasman'!B57)</f>
      </c>
      <c r="D63" s="327">
        <f>IF(ISNUMBER('Pojedinačni plasman'!E57)=FALSE,"",'Pojedinačni plasman'!E57)</f>
      </c>
      <c r="E63" s="349">
        <f>IF(ISNUMBER('Pojedinačni plasman'!F57)=FALSE,"",'Pojedinačni plasman'!F57)</f>
      </c>
      <c r="F63" s="320">
        <f>IF(ISNUMBER('Pojedinačni plasman'!C57)=FALSE,"",'Pojedinačni plasman'!C57)</f>
      </c>
      <c r="G63" s="320">
        <f>IF(ISNONTEXT('Pojedinačni plasman'!D57)=TRUE,"",'Pojedinačni plasman'!D57)</f>
      </c>
      <c r="H63" s="282">
        <f>IF(ISNUMBER('Pojedinačni plasman'!G57)=FALSE,"",'Pojedinačni plasman'!G57)</f>
      </c>
      <c r="I63" s="61"/>
    </row>
    <row r="64" spans="1:9" ht="12.75">
      <c r="A64" s="280">
        <f>IF(ISNUMBER(F64)=FALSE,"",53)</f>
      </c>
      <c r="B64" s="297">
        <f>IF(ISNONTEXT('Pojedinačni plasman'!A58)=TRUE,"",'Pojedinačni plasman'!A58)</f>
      </c>
      <c r="C64" s="298">
        <f>IF(ISNONTEXT('Pojedinačni plasman'!B58)=TRUE,"",'Pojedinačni plasman'!B58)</f>
      </c>
      <c r="D64" s="327">
        <f>IF(ISNUMBER('Pojedinačni plasman'!E58)=FALSE,"",'Pojedinačni plasman'!E58)</f>
      </c>
      <c r="E64" s="349">
        <f>IF(ISNUMBER('Pojedinačni plasman'!F58)=FALSE,"",'Pojedinačni plasman'!F58)</f>
      </c>
      <c r="F64" s="320">
        <f>IF(ISNUMBER('Pojedinačni plasman'!C58)=FALSE,"",'Pojedinačni plasman'!C58)</f>
      </c>
      <c r="G64" s="320">
        <f>IF(ISNONTEXT('Pojedinačni plasman'!D58)=TRUE,"",'Pojedinačni plasman'!D58)</f>
      </c>
      <c r="H64" s="282">
        <f>IF(ISNUMBER('Pojedinačni plasman'!G58)=FALSE,"",'Pojedinačni plasman'!G58)</f>
      </c>
      <c r="I64" s="61"/>
    </row>
    <row r="65" spans="1:9" ht="12.75">
      <c r="A65" s="280">
        <f>IF(ISNUMBER(F65)=FALSE,"",54)</f>
      </c>
      <c r="B65" s="297">
        <f>IF(ISNONTEXT('Pojedinačni plasman'!A59)=TRUE,"",'Pojedinačni plasman'!A59)</f>
      </c>
      <c r="C65" s="298">
        <f>IF(ISNONTEXT('Pojedinačni plasman'!B59)=TRUE,"",'Pojedinačni plasman'!B59)</f>
      </c>
      <c r="D65" s="327">
        <f>IF(ISNUMBER('Pojedinačni plasman'!E59)=FALSE,"",'Pojedinačni plasman'!E59)</f>
      </c>
      <c r="E65" s="349">
        <f>IF(ISNUMBER('Pojedinačni plasman'!F59)=FALSE,"",'Pojedinačni plasman'!F59)</f>
      </c>
      <c r="F65" s="320">
        <f>IF(ISNUMBER('Pojedinačni plasman'!C59)=FALSE,"",'Pojedinačni plasman'!C59)</f>
      </c>
      <c r="G65" s="320">
        <f>IF(ISNONTEXT('Pojedinačni plasman'!D59)=TRUE,"",'Pojedinačni plasman'!D59)</f>
      </c>
      <c r="H65" s="282">
        <f>IF(ISNUMBER('Pojedinačni plasman'!G59)=FALSE,"",'Pojedinačni plasman'!G59)</f>
      </c>
      <c r="I65" s="61"/>
    </row>
    <row r="66" spans="1:9" ht="12.75">
      <c r="A66" s="280">
        <f>IF(ISNUMBER(F66)=FALSE,"",55)</f>
      </c>
      <c r="B66" s="297">
        <f>IF(ISNONTEXT('Pojedinačni plasman'!A60)=TRUE,"",'Pojedinačni plasman'!A60)</f>
      </c>
      <c r="C66" s="298">
        <f>IF(ISNONTEXT('Pojedinačni plasman'!B60)=TRUE,"",'Pojedinačni plasman'!B60)</f>
      </c>
      <c r="D66" s="327">
        <f>IF(ISNUMBER('Pojedinačni plasman'!E60)=FALSE,"",'Pojedinačni plasman'!E60)</f>
      </c>
      <c r="E66" s="349">
        <f>IF(ISNUMBER('Pojedinačni plasman'!F60)=FALSE,"",'Pojedinačni plasman'!F60)</f>
      </c>
      <c r="F66" s="320">
        <f>IF(ISNUMBER('Pojedinačni plasman'!C60)=FALSE,"",'Pojedinačni plasman'!C60)</f>
      </c>
      <c r="G66" s="320">
        <f>IF(ISNONTEXT('Pojedinačni plasman'!D60)=TRUE,"",'Pojedinačni plasman'!D60)</f>
      </c>
      <c r="H66" s="282">
        <f>IF(ISNUMBER('Pojedinačni plasman'!G60)=FALSE,"",'Pojedinačni plasman'!G60)</f>
      </c>
      <c r="I66" s="61"/>
    </row>
    <row r="67" spans="1:9" ht="12.75">
      <c r="A67" s="280">
        <f>IF(ISNUMBER(F67)=FALSE,"",56)</f>
      </c>
      <c r="B67" s="297">
        <f>IF(ISNONTEXT('Pojedinačni plasman'!A61)=TRUE,"",'Pojedinačni plasman'!A61)</f>
      </c>
      <c r="C67" s="298">
        <f>IF(ISNONTEXT('Pojedinačni plasman'!B61)=TRUE,"",'Pojedinačni plasman'!B61)</f>
      </c>
      <c r="D67" s="327">
        <f>IF(ISNUMBER('Pojedinačni plasman'!E61)=FALSE,"",'Pojedinačni plasman'!E61)</f>
      </c>
      <c r="E67" s="349">
        <f>IF(ISNUMBER('Pojedinačni plasman'!F61)=FALSE,"",'Pojedinačni plasman'!F61)</f>
      </c>
      <c r="F67" s="320">
        <f>IF(ISNUMBER('Pojedinačni plasman'!C61)=FALSE,"",'Pojedinačni plasman'!C61)</f>
      </c>
      <c r="G67" s="320">
        <f>IF(ISNONTEXT('Pojedinačni plasman'!D61)=TRUE,"",'Pojedinačni plasman'!D61)</f>
      </c>
      <c r="H67" s="282">
        <f>IF(ISNUMBER('Pojedinačni plasman'!G61)=FALSE,"",'Pojedinačni plasman'!G61)</f>
      </c>
      <c r="I67" s="61"/>
    </row>
    <row r="68" spans="1:9" ht="12.75">
      <c r="A68" s="280">
        <f>IF(ISNUMBER(F68)=FALSE,"",57)</f>
      </c>
      <c r="B68" s="297">
        <f>IF(ISNONTEXT('Pojedinačni plasman'!A62)=TRUE,"",'Pojedinačni plasman'!A62)</f>
      </c>
      <c r="C68" s="298">
        <f>IF(ISNONTEXT('Pojedinačni plasman'!B62)=TRUE,"",'Pojedinačni plasman'!B62)</f>
      </c>
      <c r="D68" s="327">
        <f>IF(ISNUMBER('Pojedinačni plasman'!E62)=FALSE,"",'Pojedinačni plasman'!E62)</f>
      </c>
      <c r="E68" s="349">
        <f>IF(ISNUMBER('Pojedinačni plasman'!F62)=FALSE,"",'Pojedinačni plasman'!F62)</f>
      </c>
      <c r="F68" s="320">
        <f>IF(ISNUMBER('Pojedinačni plasman'!C62)=FALSE,"",'Pojedinačni plasman'!C62)</f>
      </c>
      <c r="G68" s="320">
        <f>IF(ISNONTEXT('Pojedinačni plasman'!D62)=TRUE,"",'Pojedinačni plasman'!D62)</f>
      </c>
      <c r="H68" s="282">
        <f>IF(ISNUMBER('Pojedinačni plasman'!G62)=FALSE,"",'Pojedinačni plasman'!G62)</f>
      </c>
      <c r="I68" s="61"/>
    </row>
    <row r="69" spans="1:9" ht="12.75">
      <c r="A69" s="280">
        <f>IF(ISNUMBER(F69)=FALSE,"",58)</f>
      </c>
      <c r="B69" s="297">
        <f>IF(ISNONTEXT('Pojedinačni plasman'!A63)=TRUE,"",'Pojedinačni plasman'!A63)</f>
      </c>
      <c r="C69" s="298">
        <f>IF(ISNONTEXT('Pojedinačni plasman'!B63)=TRUE,"",'Pojedinačni plasman'!B63)</f>
      </c>
      <c r="D69" s="327">
        <f>IF(ISNUMBER('Pojedinačni plasman'!E63)=FALSE,"",'Pojedinačni plasman'!E63)</f>
      </c>
      <c r="E69" s="349">
        <f>IF(ISNUMBER('Pojedinačni plasman'!F63)=FALSE,"",'Pojedinačni plasman'!F63)</f>
      </c>
      <c r="F69" s="320">
        <f>IF(ISNUMBER('Pojedinačni plasman'!C63)=FALSE,"",'Pojedinačni plasman'!C63)</f>
      </c>
      <c r="G69" s="320">
        <f>IF(ISNONTEXT('Pojedinačni plasman'!D63)=TRUE,"",'Pojedinačni plasman'!D63)</f>
      </c>
      <c r="H69" s="282">
        <f>IF(ISNUMBER('Pojedinačni plasman'!G63)=FALSE,"",'Pojedinačni plasman'!G63)</f>
      </c>
      <c r="I69" s="61"/>
    </row>
    <row r="70" spans="1:9" ht="12.75">
      <c r="A70" s="280">
        <f>IF(ISNUMBER(F70)=FALSE,"",59)</f>
      </c>
      <c r="B70" s="297">
        <f>IF(ISNONTEXT('Pojedinačni plasman'!A64)=TRUE,"",'Pojedinačni plasman'!A64)</f>
      </c>
      <c r="C70" s="298">
        <f>IF(ISNONTEXT('Pojedinačni plasman'!B64)=TRUE,"",'Pojedinačni plasman'!B64)</f>
      </c>
      <c r="D70" s="327">
        <f>IF(ISNUMBER('Pojedinačni plasman'!E64)=FALSE,"",'Pojedinačni plasman'!E64)</f>
      </c>
      <c r="E70" s="349">
        <f>IF(ISNUMBER('Pojedinačni plasman'!F64)=FALSE,"",'Pojedinačni plasman'!F64)</f>
      </c>
      <c r="F70" s="320">
        <f>IF(ISNUMBER('Pojedinačni plasman'!C64)=FALSE,"",'Pojedinačni plasman'!C64)</f>
      </c>
      <c r="G70" s="320">
        <f>IF(ISNONTEXT('Pojedinačni plasman'!D64)=TRUE,"",'Pojedinačni plasman'!D64)</f>
      </c>
      <c r="H70" s="282">
        <f>IF(ISNUMBER('Pojedinačni plasman'!G64)=FALSE,"",'Pojedinačni plasman'!G64)</f>
      </c>
      <c r="I70" s="61"/>
    </row>
    <row r="71" spans="1:9" ht="12.75">
      <c r="A71" s="283">
        <f>IF(ISNUMBER(F71)=FALSE,"",60)</f>
      </c>
      <c r="B71" s="293">
        <f>IF(ISNONTEXT('Pojedinačni plasman'!A65)=TRUE,"",'Pojedinačni plasman'!A65)</f>
      </c>
      <c r="C71" s="294">
        <f>IF(ISNONTEXT('Pojedinačni plasman'!B65)=TRUE,"",'Pojedinačni plasman'!B65)</f>
      </c>
      <c r="D71" s="328">
        <f>IF(ISNUMBER('Pojedinačni plasman'!E65)=FALSE,"",'Pojedinačni plasman'!E65)</f>
      </c>
      <c r="E71" s="350">
        <f>IF(ISNUMBER('Pojedinačni plasman'!F65)=FALSE,"",'Pojedinačni plasman'!F65)</f>
      </c>
      <c r="F71" s="321">
        <f>IF(ISNUMBER('Pojedinačni plasman'!C65)=FALSE,"",'Pojedinačni plasman'!C65)</f>
      </c>
      <c r="G71" s="321">
        <f>IF(ISNONTEXT('Pojedinačni plasman'!D65)=TRUE,"",'Pojedinačni plasman'!D65)</f>
      </c>
      <c r="H71" s="285">
        <f>IF(ISNUMBER('Pojedinačni plasman'!G65)=FALSE,"",'Pojedinačni plasman'!G65)</f>
      </c>
      <c r="I71" s="61"/>
    </row>
    <row r="72" spans="1:9" ht="12.75">
      <c r="A72" s="6"/>
      <c r="F72" s="6"/>
      <c r="I72" s="61"/>
    </row>
    <row r="73" spans="1:9" ht="12.75">
      <c r="A73" s="6"/>
      <c r="F73" s="6"/>
      <c r="I73" s="61"/>
    </row>
    <row r="74" spans="1:9" ht="12.75">
      <c r="A74" s="6"/>
      <c r="F74" s="6"/>
      <c r="I74" s="61"/>
    </row>
    <row r="75" spans="1:9" ht="12.75">
      <c r="A75" s="6"/>
      <c r="F75" s="6"/>
      <c r="I75" s="61"/>
    </row>
    <row r="76" spans="1:9" ht="12.75">
      <c r="A76" s="6"/>
      <c r="F76" s="6"/>
      <c r="I76" s="61"/>
    </row>
    <row r="77" spans="2:8" ht="12.75">
      <c r="B77" s="57"/>
      <c r="D77" s="7"/>
      <c r="E77" s="57"/>
      <c r="G77" s="7"/>
      <c r="H77" s="7"/>
    </row>
    <row r="78" spans="2:8" ht="12.75">
      <c r="B78" s="57"/>
      <c r="D78" s="7"/>
      <c r="E78" s="57"/>
      <c r="G78" s="7"/>
      <c r="H78" s="7"/>
    </row>
    <row r="79" spans="2:8" ht="12.75">
      <c r="B79" s="57"/>
      <c r="D79" s="7"/>
      <c r="E79" s="57"/>
      <c r="G79" s="7"/>
      <c r="H79" s="7"/>
    </row>
    <row r="80" spans="2:8" ht="12.75">
      <c r="B80" s="57"/>
      <c r="D80" s="7"/>
      <c r="E80" s="57"/>
      <c r="G80" s="7"/>
      <c r="H80" s="7"/>
    </row>
    <row r="81" spans="2:8" ht="12.75">
      <c r="B81" s="57"/>
      <c r="D81" s="7"/>
      <c r="E81" s="57"/>
      <c r="G81" s="7"/>
      <c r="H81" s="7"/>
    </row>
    <row r="82" spans="4:8" ht="12.75">
      <c r="D82" s="7"/>
      <c r="E82" s="7"/>
      <c r="G82" s="7"/>
      <c r="H82" s="7"/>
    </row>
    <row r="83" spans="4:8" ht="12.75">
      <c r="D83" s="7"/>
      <c r="E83" s="7"/>
      <c r="G83" s="7"/>
      <c r="H83" s="7"/>
    </row>
    <row r="84" spans="4:8" ht="12.75">
      <c r="D84" s="7"/>
      <c r="E84" s="7"/>
      <c r="G84" s="7"/>
      <c r="H84" s="7"/>
    </row>
    <row r="85" spans="4:8" ht="12.75">
      <c r="D85" s="7"/>
      <c r="E85" s="7"/>
      <c r="G85" s="7"/>
      <c r="H85" s="7"/>
    </row>
    <row r="86" spans="4:8" ht="12.75">
      <c r="D86" s="7"/>
      <c r="E86" s="7"/>
      <c r="G86" s="7"/>
      <c r="H86" s="7"/>
    </row>
    <row r="87" spans="4:8" ht="12.75">
      <c r="D87" s="7"/>
      <c r="E87" s="7"/>
      <c r="G87" s="7"/>
      <c r="H87" s="7"/>
    </row>
    <row r="113" spans="1:8" ht="12.75">
      <c r="A113" s="27"/>
      <c r="B113" s="26"/>
      <c r="C113" s="26"/>
      <c r="D113" s="26"/>
      <c r="E113" s="26"/>
      <c r="F113" s="27"/>
      <c r="G113" s="26"/>
      <c r="H113" s="26"/>
    </row>
    <row r="117" spans="1:6" ht="12.75">
      <c r="A117" s="6"/>
      <c r="F117" s="6"/>
    </row>
    <row r="120" spans="1:6" ht="12.75">
      <c r="A120" s="6"/>
      <c r="F120" s="6"/>
    </row>
  </sheetData>
  <sheetProtection password="C7E2" sheet="1" objects="1" scenarios="1"/>
  <printOptions horizontalCentered="1"/>
  <pageMargins left="0.984251968503937" right="0.984251968503937" top="0.7874015748031497" bottom="0.9448818897637796" header="0.5511811023622047" footer="0.4724409448818898"/>
  <pageSetup horizontalDpi="300" verticalDpi="300" orientation="portrait" paperSize="9" scale="96" r:id="rId4"/>
  <headerFooter alignWithMargins="0">
    <oddFooter>&amp;L&amp;"Arial,Kurziv"&amp;12&amp;YPojedinačni plasman&amp;C&amp;"Arial,Kurziv"&amp;12&amp;XProgram za izračun rezultata i provođenje natjecanja&amp;R&amp;"Arial,Kurziv"&amp;11&amp;YStranica &amp;P</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Sheet12">
    <tabColor indexed="51"/>
  </sheetPr>
  <dimension ref="A1:J105"/>
  <sheetViews>
    <sheetView showRowColHeaders="0" zoomScalePageLayoutView="0" workbookViewId="0" topLeftCell="A1">
      <selection activeCell="I33" sqref="I32:I33"/>
    </sheetView>
  </sheetViews>
  <sheetFormatPr defaultColWidth="9.140625" defaultRowHeight="12.75"/>
  <cols>
    <col min="1" max="1" width="8.421875" style="16" customWidth="1"/>
    <col min="2" max="2" width="9.140625" style="16" customWidth="1"/>
    <col min="3" max="3" width="10.140625" style="16" customWidth="1"/>
    <col min="4" max="4" width="15.57421875" style="16" customWidth="1"/>
    <col min="5" max="5" width="9.28125" style="16" customWidth="1"/>
    <col min="6" max="6" width="14.140625" style="16" customWidth="1"/>
    <col min="7" max="7" width="15.140625" style="16" customWidth="1"/>
    <col min="8" max="9" width="9.140625" style="16" customWidth="1"/>
    <col min="10" max="10" width="9.140625" style="16" hidden="1" customWidth="1"/>
    <col min="11" max="16384" width="9.140625" style="16" customWidth="1"/>
  </cols>
  <sheetData>
    <row r="1" spans="1:7" s="21" customFormat="1" ht="12.75">
      <c r="A1" s="380" t="s">
        <v>172</v>
      </c>
      <c r="B1" s="319"/>
      <c r="C1" s="381"/>
      <c r="D1" s="301">
        <f>IF(ISNONTEXT('Organizacija natjecanja'!$H$2)=TRUE,"",'Organizacija natjecanja'!$H$2)</f>
      </c>
      <c r="E1" s="381"/>
      <c r="F1" s="381"/>
      <c r="G1" s="382"/>
    </row>
    <row r="2" spans="1:7" s="21" customFormat="1" ht="12.75">
      <c r="A2" s="383" t="s">
        <v>173</v>
      </c>
      <c r="B2" s="320"/>
      <c r="C2" s="384"/>
      <c r="D2" s="302">
        <f>IF(ISNONTEXT('Organizacija natjecanja'!$H$5)=TRUE,"",'Organizacija natjecanja'!$H$5)</f>
      </c>
      <c r="E2" s="384"/>
      <c r="F2" s="384"/>
      <c r="G2" s="385"/>
    </row>
    <row r="3" spans="1:7" s="21" customFormat="1" ht="12.75">
      <c r="A3" s="383" t="s">
        <v>174</v>
      </c>
      <c r="B3" s="320"/>
      <c r="C3" s="384"/>
      <c r="D3" s="302">
        <f>IF(ISNONTEXT('Organizacija natjecanja'!$H$7)=TRUE,"",'Organizacija natjecanja'!$H$7)</f>
      </c>
      <c r="E3" s="384"/>
      <c r="F3" s="384"/>
      <c r="G3" s="385"/>
    </row>
    <row r="4" spans="1:7" s="21" customFormat="1" ht="12.75">
      <c r="A4" s="383" t="s">
        <v>175</v>
      </c>
      <c r="B4" s="320"/>
      <c r="C4" s="384"/>
      <c r="D4" s="302">
        <f>IF(ISNONTEXT('Organizacija natjecanja'!$H$13)=TRUE,"",'Organizacija natjecanja'!$H$13)</f>
      </c>
      <c r="E4" s="384"/>
      <c r="F4" s="384"/>
      <c r="G4" s="385"/>
    </row>
    <row r="5" spans="1:8" s="21" customFormat="1" ht="12.75">
      <c r="A5" s="383" t="s">
        <v>176</v>
      </c>
      <c r="B5" s="320"/>
      <c r="C5" s="384"/>
      <c r="D5" s="302">
        <f>IF(ISNONTEXT('Organizacija natjecanja'!$H$4)=TRUE,"",'Organizacija natjecanja'!$H$4)</f>
      </c>
      <c r="E5" s="384"/>
      <c r="F5" s="384"/>
      <c r="G5" s="385"/>
      <c r="H5" s="386"/>
    </row>
    <row r="6" spans="1:7" s="21" customFormat="1" ht="12.75">
      <c r="A6" s="383"/>
      <c r="B6" s="320"/>
      <c r="C6" s="384"/>
      <c r="D6" s="302"/>
      <c r="E6" s="384"/>
      <c r="F6" s="384"/>
      <c r="G6" s="385"/>
    </row>
    <row r="7" spans="1:7" ht="14.25" customHeight="1">
      <c r="A7" s="265" t="s">
        <v>146</v>
      </c>
      <c r="B7" s="266"/>
      <c r="C7" s="294"/>
      <c r="D7" s="267">
        <f>IF(ISBLANK('Organizacija natjecanja'!$H$9)=TRUE,"",'Organizacija natjecanja'!$H$9)</f>
      </c>
      <c r="E7" s="269"/>
      <c r="F7" s="269"/>
      <c r="G7" s="340"/>
    </row>
    <row r="8" spans="1:6" ht="12.75">
      <c r="A8" s="58"/>
      <c r="F8" s="57"/>
    </row>
    <row r="9" spans="1:7" ht="12.75">
      <c r="A9" s="391"/>
      <c r="B9" s="296"/>
      <c r="C9" s="296"/>
      <c r="D9" s="296"/>
      <c r="E9" s="296"/>
      <c r="F9" s="319"/>
      <c r="G9" s="336"/>
    </row>
    <row r="10" spans="1:7" ht="12.75">
      <c r="A10" s="371" t="s">
        <v>82</v>
      </c>
      <c r="B10" s="298"/>
      <c r="C10" s="310"/>
      <c r="D10" s="399">
        <f>COUNTA('Prijava ekipa i izvlačenje br.'!C2:C37)</f>
        <v>0</v>
      </c>
      <c r="E10" s="310" t="s">
        <v>83</v>
      </c>
      <c r="F10" s="399">
        <f>COUNTA('Prijava ekipa i izvlačenje br.'!D2:D36,'Prijava ekipa i izvlačenje br.'!G2:G36,'Prijava ekipa i izvlačenje br.'!J2:J36,'Prijava ekipa i izvlačenje br.'!M2:M36,'Prijava ekipa i izvlačenje br.'!P2:P36)</f>
        <v>0</v>
      </c>
      <c r="G10" s="369" t="s">
        <v>84</v>
      </c>
    </row>
    <row r="11" spans="1:9" ht="12.75">
      <c r="A11" s="280">
        <f>COUNTIF('Žiri natjecanja'!C32:C43,"kapetan")</f>
        <v>0</v>
      </c>
      <c r="B11" s="310" t="s">
        <v>85</v>
      </c>
      <c r="C11" s="298"/>
      <c r="D11" s="327">
        <f>IF(ISBLANK('Organizacija natjecanja'!$H$40)=TRUE,"",'Organizacija natjecanja'!$H$40)</f>
        <v>0</v>
      </c>
      <c r="E11" s="310" t="s">
        <v>95</v>
      </c>
      <c r="F11" s="310"/>
      <c r="G11" s="369"/>
      <c r="H11" s="6"/>
      <c r="I11" s="6"/>
    </row>
    <row r="12" spans="1:7" ht="12.75">
      <c r="A12" s="371" t="s">
        <v>87</v>
      </c>
      <c r="B12" s="389">
        <f>SUM(F10+A11+D11)</f>
        <v>0</v>
      </c>
      <c r="C12" s="310" t="s">
        <v>88</v>
      </c>
      <c r="D12" s="310" t="s">
        <v>89</v>
      </c>
      <c r="E12" s="310"/>
      <c r="F12" s="310"/>
      <c r="G12" s="369"/>
    </row>
    <row r="13" spans="1:7" ht="12.75">
      <c r="A13" s="392"/>
      <c r="B13" s="298"/>
      <c r="C13" s="298"/>
      <c r="D13" s="298"/>
      <c r="E13" s="298"/>
      <c r="F13" s="298"/>
      <c r="G13" s="338"/>
    </row>
    <row r="14" spans="1:9" ht="15.75">
      <c r="A14" s="393" t="s">
        <v>90</v>
      </c>
      <c r="B14" s="394"/>
      <c r="C14" s="298"/>
      <c r="D14" s="298"/>
      <c r="E14" s="298"/>
      <c r="F14" s="298"/>
      <c r="G14" s="338"/>
      <c r="I14" s="57"/>
    </row>
    <row r="15" spans="1:7" ht="12.75">
      <c r="A15" s="392"/>
      <c r="B15" s="320"/>
      <c r="C15" s="298"/>
      <c r="D15" s="298"/>
      <c r="E15" s="298"/>
      <c r="F15" s="298"/>
      <c r="G15" s="338"/>
    </row>
    <row r="16" spans="1:7" ht="12.75">
      <c r="A16" s="396" t="s">
        <v>177</v>
      </c>
      <c r="B16" s="320"/>
      <c r="C16" s="298"/>
      <c r="D16" s="298"/>
      <c r="E16" s="298"/>
      <c r="F16" s="298"/>
      <c r="G16" s="338"/>
    </row>
    <row r="17" spans="1:7" ht="12.75">
      <c r="A17" s="390" t="s">
        <v>181</v>
      </c>
      <c r="B17" s="388" t="s">
        <v>92</v>
      </c>
      <c r="C17" s="387" t="s">
        <v>191</v>
      </c>
      <c r="D17" s="388" t="s">
        <v>21</v>
      </c>
      <c r="E17" s="511" t="s">
        <v>20</v>
      </c>
      <c r="F17" s="511"/>
      <c r="G17" s="512"/>
    </row>
    <row r="18" spans="1:7" ht="12.75">
      <c r="A18" s="337">
        <f>IF(ISNUMBER('Sektorski plasman'!A10)=FALSE,"",'Sektorski plasman'!A10)</f>
      </c>
      <c r="B18" s="462">
        <f>IF(ISNUMBER('Sektorski plasman'!B10)=FALSE,"",'Sektorski plasman'!B10)</f>
      </c>
      <c r="C18" s="320">
        <f>IF(ISNUMBER('Sektorski plasman'!C10)=FALSE,"",'Sektorski plasman'!C10)</f>
      </c>
      <c r="D18" s="297">
        <f>IF(ISNONTEXT('Sektorski plasman'!D10)=TRUE,"",'Sektorski plasman'!D10)</f>
      </c>
      <c r="E18" s="298"/>
      <c r="F18" s="298">
        <f>IF(ISNONTEXT('Sektorski plasman'!E10)=TRUE,"",'Sektorski plasman'!E10)</f>
      </c>
      <c r="G18" s="338"/>
    </row>
    <row r="19" spans="1:7" ht="12.75">
      <c r="A19" s="337">
        <f>IF(ISNUMBER('Sektorski plasman'!A9)=FALSE,"",'Sektorski plasman'!A9)</f>
      </c>
      <c r="B19" s="462">
        <f>IF(ISNUMBER('Sektorski plasman'!B9)=FALSE,"",'Sektorski plasman'!B9)</f>
      </c>
      <c r="C19" s="320">
        <f>IF(ISNUMBER('Sektorski plasman'!C9)=FALSE,"",'Sektorski plasman'!C9)</f>
      </c>
      <c r="D19" s="297">
        <f>IF(ISNONTEXT('Sektorski plasman'!D9)=TRUE,"",'Sektorski plasman'!D9)</f>
      </c>
      <c r="E19" s="298"/>
      <c r="F19" s="298">
        <f>IF(ISNONTEXT('Sektorski plasman'!E9)=TRUE,"",'Sektorski plasman'!E9)</f>
      </c>
      <c r="G19" s="338"/>
    </row>
    <row r="20" spans="1:7" ht="12.75">
      <c r="A20" s="337">
        <f>IF(ISNUMBER('Sektorski plasman'!A8)=FALSE,"",'Sektorski plasman'!A8)</f>
      </c>
      <c r="B20" s="462">
        <f>IF(ISNUMBER('Sektorski plasman'!B8)=FALSE,"",'Sektorski plasman'!B8)</f>
      </c>
      <c r="C20" s="320">
        <f>IF(ISNUMBER('Sektorski plasman'!C8)=FALSE,"",'Sektorski plasman'!C8)</f>
      </c>
      <c r="D20" s="297">
        <f>IF(ISNONTEXT('Sektorski plasman'!D8)=TRUE,"",'Sektorski plasman'!D8)</f>
      </c>
      <c r="E20" s="298"/>
      <c r="F20" s="298">
        <f>IF(ISNONTEXT('Sektorski plasman'!E8)=TRUE,"",'Sektorski plasman'!E8)</f>
      </c>
      <c r="G20" s="338"/>
    </row>
    <row r="21" spans="1:7" ht="12.75" customHeight="1">
      <c r="A21" s="397"/>
      <c r="B21" s="320"/>
      <c r="C21" s="298"/>
      <c r="D21" s="298"/>
      <c r="E21" s="298"/>
      <c r="F21" s="298"/>
      <c r="G21" s="338"/>
    </row>
    <row r="22" spans="1:7" ht="15.75">
      <c r="A22" s="395"/>
      <c r="B22" s="298"/>
      <c r="C22" s="298"/>
      <c r="D22" s="298"/>
      <c r="E22" s="298"/>
      <c r="F22" s="298"/>
      <c r="G22" s="338"/>
    </row>
    <row r="23" spans="1:7" ht="12.75">
      <c r="A23" s="396" t="s">
        <v>182</v>
      </c>
      <c r="B23" s="320"/>
      <c r="C23" s="298"/>
      <c r="D23" s="298"/>
      <c r="E23" s="298"/>
      <c r="F23" s="298"/>
      <c r="G23" s="338"/>
    </row>
    <row r="24" spans="1:7" ht="12.75">
      <c r="A24" s="390" t="s">
        <v>181</v>
      </c>
      <c r="B24" s="388" t="s">
        <v>92</v>
      </c>
      <c r="C24" s="387" t="s">
        <v>191</v>
      </c>
      <c r="D24" s="388" t="s">
        <v>21</v>
      </c>
      <c r="E24" s="511" t="s">
        <v>20</v>
      </c>
      <c r="F24" s="511"/>
      <c r="G24" s="512"/>
    </row>
    <row r="25" spans="1:7" ht="12.75">
      <c r="A25" s="337">
        <f>IF(ISNUMBER('Sektorski plasman'!A27)=FALSE,"",'Sektorski plasman'!A27)</f>
      </c>
      <c r="B25" s="462">
        <f>IF(ISNUMBER('Sektorski plasman'!B27)=FALSE,"",'Sektorski plasman'!B27)</f>
      </c>
      <c r="C25" s="320">
        <f>IF(ISNUMBER('Sektorski plasman'!C27)=FALSE,"",'Sektorski plasman'!C27)</f>
      </c>
      <c r="D25" s="297">
        <f>IF(ISNONTEXT('Sektorski plasman'!D27)=TRUE,"",'Sektorski plasman'!D27)</f>
      </c>
      <c r="E25" s="298"/>
      <c r="F25" s="298">
        <f>IF(ISNONTEXT('Sektorski plasman'!E27)=TRUE,"",'Sektorski plasman'!E27)</f>
      </c>
      <c r="G25" s="338"/>
    </row>
    <row r="26" spans="1:7" ht="12.75">
      <c r="A26" s="337">
        <f>IF(ISNUMBER('Sektorski plasman'!A26)=FALSE,"",'Sektorski plasman'!A26)</f>
      </c>
      <c r="B26" s="462">
        <f>IF(ISNUMBER('Sektorski plasman'!B26)=FALSE,"",'Sektorski plasman'!B26)</f>
      </c>
      <c r="C26" s="320">
        <f>IF(ISNUMBER('Sektorski plasman'!C26)=FALSE,"",'Sektorski plasman'!C26)</f>
      </c>
      <c r="D26" s="297">
        <f>IF(ISNONTEXT('Sektorski plasman'!D26)=TRUE,"",'Sektorski plasman'!D26)</f>
      </c>
      <c r="E26" s="298"/>
      <c r="F26" s="298">
        <f>IF(ISNONTEXT('Sektorski plasman'!E26)=TRUE,"",'Sektorski plasman'!E26)</f>
      </c>
      <c r="G26" s="338"/>
    </row>
    <row r="27" spans="1:7" ht="12.75">
      <c r="A27" s="337">
        <f>IF(ISNUMBER('Sektorski plasman'!A25)=FALSE,"",'Sektorski plasman'!A25)</f>
      </c>
      <c r="B27" s="462">
        <f>IF(ISNUMBER('Sektorski plasman'!B25)=FALSE,"",'Sektorski plasman'!B25)</f>
      </c>
      <c r="C27" s="320">
        <f>IF(ISNUMBER('Sektorski plasman'!C25)=FALSE,"",'Sektorski plasman'!C25)</f>
      </c>
      <c r="D27" s="297">
        <f>IF(ISNONTEXT('Sektorski plasman'!D25)=TRUE,"",'Sektorski plasman'!D25)</f>
      </c>
      <c r="E27" s="298"/>
      <c r="F27" s="298">
        <f>IF(ISNONTEXT('Sektorski plasman'!E25)=TRUE,"",'Sektorski plasman'!E25)</f>
      </c>
      <c r="G27" s="338"/>
    </row>
    <row r="28" spans="1:7" ht="12.75">
      <c r="A28" s="392"/>
      <c r="B28" s="298"/>
      <c r="C28" s="298"/>
      <c r="D28" s="298"/>
      <c r="E28" s="298"/>
      <c r="F28" s="298"/>
      <c r="G28" s="338"/>
    </row>
    <row r="29" spans="1:7" ht="15.75">
      <c r="A29" s="395"/>
      <c r="B29" s="298"/>
      <c r="C29" s="298"/>
      <c r="D29" s="298"/>
      <c r="E29" s="298"/>
      <c r="F29" s="298"/>
      <c r="G29" s="338"/>
    </row>
    <row r="30" spans="1:7" ht="12.75">
      <c r="A30" s="396" t="s">
        <v>183</v>
      </c>
      <c r="B30" s="320"/>
      <c r="C30" s="298"/>
      <c r="D30" s="298"/>
      <c r="E30" s="298"/>
      <c r="F30" s="298"/>
      <c r="G30" s="338"/>
    </row>
    <row r="31" spans="1:7" ht="12.75">
      <c r="A31" s="390" t="s">
        <v>181</v>
      </c>
      <c r="B31" s="388" t="s">
        <v>92</v>
      </c>
      <c r="C31" s="387" t="s">
        <v>191</v>
      </c>
      <c r="D31" s="388" t="s">
        <v>21</v>
      </c>
      <c r="E31" s="511" t="s">
        <v>20</v>
      </c>
      <c r="F31" s="511"/>
      <c r="G31" s="512"/>
    </row>
    <row r="32" spans="1:7" ht="12.75">
      <c r="A32" s="337">
        <f>IF(ISNUMBER('Sektorski plasman'!A44)=FALSE,"",'Sektorski plasman'!A44)</f>
      </c>
      <c r="B32" s="462">
        <f>IF(ISNUMBER('Sektorski plasman'!B44)=FALSE,"",'Sektorski plasman'!B44)</f>
      </c>
      <c r="C32" s="320">
        <f>IF(ISNUMBER('Sektorski plasman'!C44)=FALSE,"",'Sektorski plasman'!C44)</f>
      </c>
      <c r="D32" s="297">
        <f>IF(ISNONTEXT('Sektorski plasman'!D44)=TRUE,"",'Sektorski plasman'!D44)</f>
      </c>
      <c r="E32" s="298"/>
      <c r="F32" s="298">
        <f>IF(ISNONTEXT('Sektorski plasman'!E44)=TRUE,"",'Sektorski plasman'!E44)</f>
      </c>
      <c r="G32" s="338"/>
    </row>
    <row r="33" spans="1:7" ht="12.75">
      <c r="A33" s="337">
        <f>IF(ISNUMBER('Sektorski plasman'!A43)=FALSE,"",'Sektorski plasman'!A43)</f>
      </c>
      <c r="B33" s="462">
        <f>IF(ISNUMBER('Sektorski plasman'!B43)=FALSE,"",'Sektorski plasman'!B43)</f>
      </c>
      <c r="C33" s="320">
        <f>IF(ISNUMBER('Sektorski plasman'!C43)=FALSE,"",'Sektorski plasman'!C43)</f>
      </c>
      <c r="D33" s="297">
        <f>IF(ISNONTEXT('Sektorski plasman'!D43)=TRUE,"",'Sektorski plasman'!D43)</f>
      </c>
      <c r="E33" s="298"/>
      <c r="F33" s="298">
        <f>IF(ISNONTEXT('Sektorski plasman'!E43)=TRUE,"",'Sektorski plasman'!E43)</f>
      </c>
      <c r="G33" s="338"/>
    </row>
    <row r="34" spans="1:7" ht="12.75">
      <c r="A34" s="337">
        <f>IF(ISNUMBER('Sektorski plasman'!A42)=FALSE,"",'Sektorski plasman'!A42)</f>
      </c>
      <c r="B34" s="462">
        <f>IF(ISNUMBER('Sektorski plasman'!B42)=FALSE,"",'Sektorski plasman'!B42)</f>
      </c>
      <c r="C34" s="320">
        <f>IF(ISNUMBER('Sektorski plasman'!C42)=FALSE,"",'Sektorski plasman'!C42)</f>
      </c>
      <c r="D34" s="297">
        <f>IF(ISNONTEXT('Sektorski plasman'!D42)=TRUE,"",'Sektorski plasman'!D42)</f>
      </c>
      <c r="E34" s="298"/>
      <c r="F34" s="298">
        <f>IF(ISNONTEXT('Sektorski plasman'!E42)=TRUE,"",'Sektorski plasman'!E42)</f>
      </c>
      <c r="G34" s="338"/>
    </row>
    <row r="35" spans="1:7" ht="12.75">
      <c r="A35" s="398"/>
      <c r="B35" s="298"/>
      <c r="C35" s="298"/>
      <c r="D35" s="298"/>
      <c r="E35" s="298"/>
      <c r="F35" s="298"/>
      <c r="G35" s="338"/>
    </row>
    <row r="36" spans="1:7" ht="15.75">
      <c r="A36" s="395"/>
      <c r="B36" s="298"/>
      <c r="C36" s="298"/>
      <c r="D36" s="298"/>
      <c r="E36" s="298"/>
      <c r="F36" s="298"/>
      <c r="G36" s="338"/>
    </row>
    <row r="37" spans="1:7" ht="12.75">
      <c r="A37" s="396" t="s">
        <v>184</v>
      </c>
      <c r="B37" s="320"/>
      <c r="C37" s="298"/>
      <c r="D37" s="298"/>
      <c r="E37" s="298"/>
      <c r="F37" s="298"/>
      <c r="G37" s="338"/>
    </row>
    <row r="38" spans="1:7" ht="12.75">
      <c r="A38" s="390" t="s">
        <v>181</v>
      </c>
      <c r="B38" s="388" t="s">
        <v>92</v>
      </c>
      <c r="C38" s="387" t="s">
        <v>191</v>
      </c>
      <c r="D38" s="388" t="s">
        <v>21</v>
      </c>
      <c r="E38" s="511" t="s">
        <v>20</v>
      </c>
      <c r="F38" s="511"/>
      <c r="G38" s="512"/>
    </row>
    <row r="39" spans="1:7" ht="12.75">
      <c r="A39" s="337">
        <f>IF(ISNUMBER('Sektorski plasman'!A63)=FALSE,"",'Sektorski plasman'!A63)</f>
      </c>
      <c r="B39" s="462">
        <f>IF(ISNUMBER('Sektorski plasman'!B63)=FALSE,"",'Sektorski plasman'!B63)</f>
      </c>
      <c r="C39" s="320">
        <f>IF(ISNUMBER('Sektorski plasman'!C63)=FALSE,"",'Sektorski plasman'!C63)</f>
      </c>
      <c r="D39" s="297">
        <f>IF(ISNONTEXT('Sektorski plasman'!D63)=TRUE,"",'Sektorski plasman'!D63)</f>
      </c>
      <c r="E39" s="298"/>
      <c r="F39" s="298">
        <f>IF(ISNONTEXT('Sektorski plasman'!E63)=TRUE,"",'Sektorski plasman'!E63)</f>
      </c>
      <c r="G39" s="338"/>
    </row>
    <row r="40" spans="1:7" ht="12.75">
      <c r="A40" s="337">
        <f>IF(ISNUMBER('Sektorski plasman'!A62)=FALSE,"",'Sektorski plasman'!A62)</f>
      </c>
      <c r="B40" s="462">
        <f>IF(ISNUMBER('Sektorski plasman'!B62)=FALSE,"",'Sektorski plasman'!B62)</f>
      </c>
      <c r="C40" s="320">
        <f>IF(ISNUMBER('Sektorski plasman'!C62)=FALSE,"",'Sektorski plasman'!C62)</f>
      </c>
      <c r="D40" s="297">
        <f>IF(ISNONTEXT('Sektorski plasman'!D62)=TRUE,"",'Sektorski plasman'!D62)</f>
      </c>
      <c r="E40" s="298"/>
      <c r="F40" s="298">
        <f>IF(ISNONTEXT('Sektorski plasman'!E62)=TRUE,"",'Sektorski plasman'!E62)</f>
      </c>
      <c r="G40" s="338"/>
    </row>
    <row r="41" spans="1:7" ht="12.75">
      <c r="A41" s="337">
        <f>IF(ISNUMBER('Sektorski plasman'!A61)=FALSE,"",'Sektorski plasman'!A61)</f>
      </c>
      <c r="B41" s="462">
        <f>IF(ISNUMBER('Sektorski plasman'!B61)=FALSE,"",'Sektorski plasman'!B61)</f>
      </c>
      <c r="C41" s="320">
        <f>IF(ISNUMBER('Sektorski plasman'!C61)=FALSE,"",'Sektorski plasman'!C61)</f>
      </c>
      <c r="D41" s="297">
        <f>IF(ISNONTEXT('Sektorski plasman'!D61)=TRUE,"",'Sektorski plasman'!D61)</f>
      </c>
      <c r="E41" s="298"/>
      <c r="F41" s="298">
        <f>IF(ISNONTEXT('Sektorski plasman'!E61)=TRUE,"",'Sektorski plasman'!E61)</f>
      </c>
      <c r="G41" s="338"/>
    </row>
    <row r="42" spans="1:7" ht="12.75">
      <c r="A42" s="392"/>
      <c r="B42" s="298"/>
      <c r="C42" s="298"/>
      <c r="D42" s="298"/>
      <c r="E42" s="298"/>
      <c r="F42" s="298"/>
      <c r="G42" s="338"/>
    </row>
    <row r="43" spans="1:7" ht="15.75">
      <c r="A43" s="395"/>
      <c r="B43" s="298"/>
      <c r="C43" s="298"/>
      <c r="D43" s="298"/>
      <c r="E43" s="298"/>
      <c r="F43" s="298"/>
      <c r="G43" s="338"/>
    </row>
    <row r="44" spans="1:7" s="59" customFormat="1" ht="12.75">
      <c r="A44" s="396" t="s">
        <v>185</v>
      </c>
      <c r="B44" s="320"/>
      <c r="C44" s="298"/>
      <c r="D44" s="298"/>
      <c r="E44" s="298"/>
      <c r="F44" s="298"/>
      <c r="G44" s="338"/>
    </row>
    <row r="45" spans="1:7" ht="12.75">
      <c r="A45" s="390" t="s">
        <v>181</v>
      </c>
      <c r="B45" s="388" t="s">
        <v>92</v>
      </c>
      <c r="C45" s="387" t="s">
        <v>191</v>
      </c>
      <c r="D45" s="388" t="s">
        <v>21</v>
      </c>
      <c r="E45" s="511" t="s">
        <v>20</v>
      </c>
      <c r="F45" s="511"/>
      <c r="G45" s="512"/>
    </row>
    <row r="46" spans="1:7" ht="12.75">
      <c r="A46" s="337">
        <f>IF(ISNUMBER('Sektorski plasman'!A80)=FALSE,"",'Sektorski plasman'!A80)</f>
      </c>
      <c r="B46" s="462">
        <f>IF(ISNUMBER('Sektorski plasman'!B80)=FALSE,"",'Sektorski plasman'!B80)</f>
      </c>
      <c r="C46" s="320">
        <f>IF(ISNUMBER('Sektorski plasman'!C80)=FALSE,"",'Sektorski plasman'!C80)</f>
      </c>
      <c r="D46" s="297">
        <f>IF(ISNONTEXT('Sektorski plasman'!D80)=TRUE,"",'Sektorski plasman'!D80)</f>
      </c>
      <c r="E46" s="298"/>
      <c r="F46" s="298">
        <f>IF(ISNONTEXT('Sektorski plasman'!E80)=TRUE,"",'Sektorski plasman'!E80)</f>
      </c>
      <c r="G46" s="338"/>
    </row>
    <row r="47" spans="1:7" ht="12.75">
      <c r="A47" s="337">
        <f>IF(ISNUMBER('Sektorski plasman'!A79)=FALSE,"",'Sektorski plasman'!A79)</f>
      </c>
      <c r="B47" s="462">
        <f>IF(ISNUMBER('Sektorski plasman'!B79)=FALSE,"",'Sektorski plasman'!B79)</f>
      </c>
      <c r="C47" s="320">
        <f>IF(ISNUMBER('Sektorski plasman'!C79)=FALSE,"",'Sektorski plasman'!C79)</f>
      </c>
      <c r="D47" s="297">
        <f>IF(ISNONTEXT('Sektorski plasman'!D79)=TRUE,"",'Sektorski plasman'!D79)</f>
      </c>
      <c r="E47" s="298"/>
      <c r="F47" s="298">
        <f>IF(ISNONTEXT('Sektorski plasman'!E79)=TRUE,"",'Sektorski plasman'!E79)</f>
      </c>
      <c r="G47" s="338"/>
    </row>
    <row r="48" spans="1:7" ht="12.75">
      <c r="A48" s="337">
        <f>IF(ISNUMBER('Sektorski plasman'!A78)=FALSE,"",'Sektorski plasman'!A78)</f>
      </c>
      <c r="B48" s="462">
        <f>IF(ISNUMBER('Sektorski plasman'!B78)=FALSE,"",'Sektorski plasman'!B78)</f>
      </c>
      <c r="C48" s="320">
        <f>IF(ISNUMBER('Sektorski plasman'!C78)=FALSE,"",'Sektorski plasman'!C78)</f>
      </c>
      <c r="D48" s="297">
        <f>IF(ISNONTEXT('Sektorski plasman'!D78)=TRUE,"",'Sektorski plasman'!D78)</f>
      </c>
      <c r="E48" s="298"/>
      <c r="F48" s="298">
        <f>IF(ISNONTEXT('Sektorski plasman'!E78)=TRUE,"",'Sektorski plasman'!E78)</f>
      </c>
      <c r="G48" s="338"/>
    </row>
    <row r="49" spans="1:7" ht="12.75">
      <c r="A49" s="337"/>
      <c r="B49" s="320"/>
      <c r="C49" s="320"/>
      <c r="D49" s="297"/>
      <c r="E49" s="298"/>
      <c r="F49" s="298"/>
      <c r="G49" s="338"/>
    </row>
    <row r="50" spans="1:7" ht="12.75">
      <c r="A50" s="339"/>
      <c r="B50" s="321"/>
      <c r="C50" s="321"/>
      <c r="D50" s="293"/>
      <c r="E50" s="294"/>
      <c r="F50" s="294"/>
      <c r="G50" s="340"/>
    </row>
    <row r="51" spans="1:7" ht="12.75">
      <c r="A51" s="467"/>
      <c r="B51" s="467"/>
      <c r="C51" s="467"/>
      <c r="D51" s="467"/>
      <c r="E51" s="467"/>
      <c r="F51" s="467"/>
      <c r="G51" s="467"/>
    </row>
    <row r="52" spans="1:7" ht="12.75">
      <c r="A52" s="403"/>
      <c r="B52" s="296"/>
      <c r="C52" s="296"/>
      <c r="D52" s="296"/>
      <c r="E52" s="296"/>
      <c r="F52" s="296"/>
      <c r="G52" s="336"/>
    </row>
    <row r="53" spans="1:7" ht="15.75">
      <c r="A53" s="393" t="s">
        <v>101</v>
      </c>
      <c r="B53" s="320"/>
      <c r="C53" s="400"/>
      <c r="D53" s="298"/>
      <c r="E53" s="298"/>
      <c r="F53" s="298"/>
      <c r="G53" s="338"/>
    </row>
    <row r="54" spans="1:7" ht="15.75" customHeight="1">
      <c r="A54" s="401"/>
      <c r="B54" s="298"/>
      <c r="C54" s="320"/>
      <c r="D54" s="384"/>
      <c r="E54" s="298"/>
      <c r="F54" s="298"/>
      <c r="G54" s="338"/>
    </row>
    <row r="55" spans="1:7" ht="12.75" customHeight="1">
      <c r="A55" s="390" t="s">
        <v>181</v>
      </c>
      <c r="B55" s="387" t="s">
        <v>192</v>
      </c>
      <c r="C55" s="388" t="s">
        <v>92</v>
      </c>
      <c r="D55" s="388" t="s">
        <v>21</v>
      </c>
      <c r="E55" s="511" t="s">
        <v>20</v>
      </c>
      <c r="F55" s="511"/>
      <c r="G55" s="512"/>
    </row>
    <row r="56" spans="1:7" ht="12.75">
      <c r="A56" s="337">
        <f>IF(ISNUMBER(A18)=FALSE,"",'Pojedinačni plasman'!G8)</f>
      </c>
      <c r="B56" s="320">
        <f>IF(ISNUMBER(B18)=FALSE,"",'Pojedinačni plasman'!E8)</f>
      </c>
      <c r="C56" s="462">
        <f>IF(ISNUMBER(B18)=FALSE,"",'Pojedinačni plasman'!F8)</f>
      </c>
      <c r="D56" s="341">
        <f>IF(ISNONTEXT(D18)=TRUE,"",'Pojedinačni plasman'!A8)</f>
      </c>
      <c r="E56" s="298"/>
      <c r="F56" s="298">
        <f>IF(ISNONTEXT(F18)=TRUE,"",'Pojedinačni plasman'!B8)</f>
      </c>
      <c r="G56" s="338"/>
    </row>
    <row r="57" spans="1:10" ht="12.75">
      <c r="A57" s="337">
        <f>IF(ISNUMBER(A19)=FALSE,"",'Pojedinačni plasman'!G7)</f>
      </c>
      <c r="B57" s="320">
        <f>IF(ISNUMBER(B19)=FALSE,"",'Pojedinačni plasman'!E7)</f>
      </c>
      <c r="C57" s="462">
        <f>IF(ISNUMBER(B19)=FALSE,"",'Pojedinačni plasman'!F7)</f>
      </c>
      <c r="D57" s="341">
        <f>IF(ISNONTEXT(D19)=TRUE,"",'Pojedinačni plasman'!A7)</f>
      </c>
      <c r="E57" s="298"/>
      <c r="F57" s="298">
        <f>IF(ISNONTEXT(F19)=TRUE,"",'Pojedinačni plasman'!B7)</f>
      </c>
      <c r="G57" s="338"/>
      <c r="J57" s="16">
        <f>B20</f>
      </c>
    </row>
    <row r="58" spans="1:10" ht="12.75">
      <c r="A58" s="337">
        <f>IF(ISNUMBER(A20)=FALSE,"",'Pojedinačni plasman'!G6)</f>
      </c>
      <c r="B58" s="320">
        <f>IF(ISNUMBER(B20)=FALSE,"",'Pojedinačni plasman'!E6)</f>
      </c>
      <c r="C58" s="462">
        <f>IF(ISNUMBER(B20)=FALSE,"",'Pojedinačni plasman'!F6)</f>
      </c>
      <c r="D58" s="341">
        <f>IF(ISNONTEXT(D20)=TRUE,"",'Pojedinačni plasman'!A6)</f>
      </c>
      <c r="E58" s="298"/>
      <c r="F58" s="298">
        <f>IF(ISNONTEXT(F20)=TRUE,"",'Pojedinačni plasman'!B6)</f>
      </c>
      <c r="G58" s="338"/>
      <c r="J58" s="16">
        <f>B27</f>
      </c>
    </row>
    <row r="59" spans="1:10" ht="12.75">
      <c r="A59" s="392"/>
      <c r="B59" s="298"/>
      <c r="C59" s="320"/>
      <c r="D59" s="298"/>
      <c r="E59" s="298"/>
      <c r="F59" s="298"/>
      <c r="G59" s="338"/>
      <c r="J59" s="16">
        <f>B34</f>
      </c>
    </row>
    <row r="60" spans="1:10" ht="15.75">
      <c r="A60" s="393" t="s">
        <v>102</v>
      </c>
      <c r="B60" s="298"/>
      <c r="C60" s="298"/>
      <c r="D60" s="298"/>
      <c r="E60" s="298"/>
      <c r="F60" s="298"/>
      <c r="G60" s="338"/>
      <c r="J60" s="16">
        <f>B41</f>
      </c>
    </row>
    <row r="61" spans="1:7" ht="15.75">
      <c r="A61" s="393"/>
      <c r="B61" s="298"/>
      <c r="C61" s="298"/>
      <c r="D61" s="298"/>
      <c r="E61" s="298"/>
      <c r="F61" s="298"/>
      <c r="G61" s="338"/>
    </row>
    <row r="62" spans="1:10" ht="12.75" customHeight="1">
      <c r="A62" s="390" t="s">
        <v>181</v>
      </c>
      <c r="B62" s="510" t="s">
        <v>196</v>
      </c>
      <c r="C62" s="510"/>
      <c r="D62" s="510"/>
      <c r="E62" s="387" t="s">
        <v>92</v>
      </c>
      <c r="F62" s="387" t="s">
        <v>193</v>
      </c>
      <c r="G62" s="402" t="s">
        <v>194</v>
      </c>
      <c r="H62" s="344"/>
      <c r="J62" s="16">
        <f>B48</f>
      </c>
    </row>
    <row r="63" spans="1:8" ht="12.75">
      <c r="A63" s="337">
        <f>IF(ISNUMBER('Ekipni plasman'!F8)=FALSE,"",'Ekipni plasman'!F8)</f>
      </c>
      <c r="B63" s="297">
        <f>IF(ISNONTEXT('Ekipni plasman'!B8)=TRUE,"",'Ekipni plasman'!B8)</f>
      </c>
      <c r="C63" s="298"/>
      <c r="D63" s="298"/>
      <c r="E63" s="320">
        <f>IF(ISNUMBER('Ekipni plasman'!C8)=FALSE,"",'Ekipni plasman'!C8)</f>
      </c>
      <c r="F63" s="463">
        <f>IF(ISNUMBER('Ekipni plasman'!D8)=FALSE,"",'Ekipni plasman'!D8)</f>
      </c>
      <c r="G63" s="464">
        <f>IF(ISNUMBER('Ekipni plasman'!E8)=FALSE,"",'Ekipni plasman'!E8)</f>
      </c>
      <c r="H63" s="343"/>
    </row>
    <row r="64" spans="1:8" ht="12.75">
      <c r="A64" s="337">
        <f>IF(ISNUMBER('Ekipni plasman'!F7)=FALSE,"",'Ekipni plasman'!F7)</f>
      </c>
      <c r="B64" s="297">
        <f>IF(ISNONTEXT('Ekipni plasman'!B7)=TRUE,"",'Ekipni plasman'!B7)</f>
      </c>
      <c r="C64" s="298"/>
      <c r="D64" s="298"/>
      <c r="E64" s="320">
        <f>IF(ISNUMBER('Ekipni plasman'!C7)=FALSE,"",'Ekipni plasman'!C7)</f>
      </c>
      <c r="F64" s="463">
        <f>IF(ISNUMBER('Ekipni plasman'!D7)=FALSE,"",'Ekipni plasman'!D7)</f>
      </c>
      <c r="G64" s="464">
        <f>IF(ISNUMBER('Ekipni plasman'!E7)=FALSE,"",'Ekipni plasman'!E7)</f>
      </c>
      <c r="H64" s="342"/>
    </row>
    <row r="65" spans="1:8" ht="12.75">
      <c r="A65" s="337">
        <f>IF(ISNUMBER('Ekipni plasman'!F6)=FALSE,"",'Ekipni plasman'!F6)</f>
      </c>
      <c r="B65" s="297">
        <f>IF(ISNONTEXT('Ekipni plasman'!B6)=TRUE,"",'Ekipni plasman'!B6)</f>
      </c>
      <c r="C65" s="298"/>
      <c r="D65" s="298"/>
      <c r="E65" s="320">
        <f>IF(ISNUMBER('Ekipni plasman'!C6)=FALSE,"",'Ekipni plasman'!C6)</f>
      </c>
      <c r="F65" s="463">
        <f>IF(ISNUMBER('Ekipni plasman'!D6)=FALSE,"",'Ekipni plasman'!D6)</f>
      </c>
      <c r="G65" s="464">
        <f>IF(ISNUMBER('Ekipni plasman'!E6)=FALSE,"",'Ekipni plasman'!E6)</f>
      </c>
      <c r="H65" s="343"/>
    </row>
    <row r="66" spans="1:7" ht="12.75">
      <c r="A66" s="404"/>
      <c r="B66" s="294"/>
      <c r="C66" s="294"/>
      <c r="D66" s="294"/>
      <c r="E66" s="294"/>
      <c r="F66" s="294"/>
      <c r="G66" s="340"/>
    </row>
    <row r="105" spans="1:7" ht="12.75">
      <c r="A105" s="134"/>
      <c r="B105" s="134"/>
      <c r="C105" s="134"/>
      <c r="D105" s="134"/>
      <c r="E105" s="134"/>
      <c r="F105" s="134"/>
      <c r="G105" s="134"/>
    </row>
  </sheetData>
  <sheetProtection password="C7E2" sheet="1" objects="1" scenarios="1"/>
  <mergeCells count="7">
    <mergeCell ref="B62:D62"/>
    <mergeCell ref="E31:G31"/>
    <mergeCell ref="E24:G24"/>
    <mergeCell ref="E17:G17"/>
    <mergeCell ref="E55:G55"/>
    <mergeCell ref="E45:G45"/>
    <mergeCell ref="E38:G38"/>
  </mergeCells>
  <printOptions horizontalCentered="1"/>
  <pageMargins left="0.984251968503937" right="0.984251968503937" top="0.984251968503937" bottom="1.6141732283464567" header="0.5118110236220472" footer="0.5118110236220472"/>
  <pageSetup horizontalDpi="300" verticalDpi="300" orientation="portrait" paperSize="9" r:id="rId4"/>
  <headerFooter alignWithMargins="0">
    <oddFooter>&amp;L&amp;"Arial,Kurziv"&amp;12&amp;YProglašenje rezultata&amp;C&amp;"Arial,Kurziv"&amp;12&amp;XProgram za izračun rezultata i provođenje natjecanja&amp;R&amp;"Arial,Kurziv"&amp;12&amp;YStranica &amp;P</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Sheet18">
    <tabColor indexed="51"/>
  </sheetPr>
  <dimension ref="A1:Y90"/>
  <sheetViews>
    <sheetView showRowColHeaders="0" zoomScalePageLayoutView="0" workbookViewId="0" topLeftCell="A1">
      <selection activeCell="J20" sqref="J20"/>
    </sheetView>
  </sheetViews>
  <sheetFormatPr defaultColWidth="9.140625" defaultRowHeight="12.75"/>
  <cols>
    <col min="1" max="1" width="10.8515625" style="6" customWidth="1"/>
    <col min="2" max="2" width="9.140625" style="6" customWidth="1"/>
    <col min="3" max="3" width="13.140625" style="6" customWidth="1"/>
    <col min="4" max="4" width="9.421875" style="6" customWidth="1"/>
    <col min="5" max="5" width="10.7109375" style="6" customWidth="1"/>
    <col min="6" max="6" width="8.28125" style="6" customWidth="1"/>
    <col min="7" max="7" width="10.7109375" style="6" customWidth="1"/>
    <col min="8" max="8" width="9.57421875" style="6" customWidth="1"/>
    <col min="9" max="16384" width="9.140625" style="6" customWidth="1"/>
  </cols>
  <sheetData>
    <row r="1" spans="1:8" ht="12.75">
      <c r="A1" s="250" t="s">
        <v>172</v>
      </c>
      <c r="B1" s="251"/>
      <c r="C1" s="308"/>
      <c r="D1" s="301">
        <f>IF(ISNONTEXT('Organizacija natjecanja'!$H$2)=TRUE,"",'Organizacija natjecanja'!$H$2)</f>
      </c>
      <c r="E1" s="254"/>
      <c r="F1" s="254"/>
      <c r="G1" s="308"/>
      <c r="H1" s="368"/>
    </row>
    <row r="2" spans="1:8" ht="12.75">
      <c r="A2" s="256" t="s">
        <v>173</v>
      </c>
      <c r="B2" s="257"/>
      <c r="C2" s="310"/>
      <c r="D2" s="302">
        <f>IF(ISNONTEXT('Organizacija natjecanja'!$H$5)=TRUE,"",'Organizacija natjecanja'!$H$5)</f>
      </c>
      <c r="E2" s="258"/>
      <c r="F2" s="261"/>
      <c r="G2" s="310"/>
      <c r="H2" s="369"/>
    </row>
    <row r="3" spans="1:9" ht="12.75">
      <c r="A3" s="256" t="s">
        <v>174</v>
      </c>
      <c r="B3" s="257"/>
      <c r="C3" s="310"/>
      <c r="D3" s="261">
        <f>IF(ISNONTEXT('Organizacija natjecanja'!$H$7)=TRUE,"",'Organizacija natjecanja'!$H$7)</f>
      </c>
      <c r="E3" s="263"/>
      <c r="F3" s="263"/>
      <c r="G3" s="310"/>
      <c r="H3" s="369"/>
      <c r="I3" s="8"/>
    </row>
    <row r="4" spans="1:9" ht="12.75">
      <c r="A4" s="256" t="s">
        <v>175</v>
      </c>
      <c r="B4" s="257"/>
      <c r="C4" s="310"/>
      <c r="D4" s="261">
        <f>IF(ISNONTEXT('Organizacija natjecanja'!$H$13)=TRUE,"",'Organizacija natjecanja'!$H$13)</f>
      </c>
      <c r="E4" s="263"/>
      <c r="F4" s="263"/>
      <c r="G4" s="310"/>
      <c r="H4" s="369"/>
      <c r="I4" s="8"/>
    </row>
    <row r="5" spans="1:9" ht="12.75">
      <c r="A5" s="256" t="s">
        <v>176</v>
      </c>
      <c r="B5" s="257"/>
      <c r="C5" s="310"/>
      <c r="D5" s="261">
        <f>IF(ISNONTEXT('Organizacija natjecanja'!$H$4)=TRUE,"",'Organizacija natjecanja'!$H$4)</f>
      </c>
      <c r="E5" s="263"/>
      <c r="F5" s="263"/>
      <c r="G5" s="310"/>
      <c r="H5" s="369"/>
      <c r="I5" s="8"/>
    </row>
    <row r="6" spans="1:8" ht="12.75">
      <c r="A6" s="256"/>
      <c r="B6" s="257"/>
      <c r="C6" s="310"/>
      <c r="D6" s="261"/>
      <c r="E6" s="263"/>
      <c r="F6" s="263"/>
      <c r="G6" s="310"/>
      <c r="H6" s="369"/>
    </row>
    <row r="7" spans="1:8" ht="14.25" customHeight="1">
      <c r="A7" s="265" t="s">
        <v>103</v>
      </c>
      <c r="B7" s="266"/>
      <c r="C7" s="313"/>
      <c r="D7" s="267">
        <f>IF(ISBLANK('Organizacija natjecanja'!$H$9)=TRUE,"",'Organizacija natjecanja'!$H$9)</f>
      </c>
      <c r="E7" s="269"/>
      <c r="F7" s="269"/>
      <c r="G7" s="313"/>
      <c r="H7" s="370"/>
    </row>
    <row r="8" spans="1:8" ht="12.75">
      <c r="A8" s="378"/>
      <c r="B8" s="289"/>
      <c r="C8" s="290"/>
      <c r="D8" s="291"/>
      <c r="E8" s="292"/>
      <c r="F8" s="292"/>
      <c r="G8" s="8"/>
      <c r="H8" s="8"/>
    </row>
    <row r="9" spans="1:8" ht="12.75">
      <c r="A9" s="379"/>
      <c r="B9" s="251"/>
      <c r="C9" s="252"/>
      <c r="D9" s="253"/>
      <c r="E9" s="254"/>
      <c r="F9" s="254"/>
      <c r="G9" s="308"/>
      <c r="H9" s="368"/>
    </row>
    <row r="10" spans="1:8" ht="15.75">
      <c r="A10" s="405" t="s">
        <v>104</v>
      </c>
      <c r="B10" s="406"/>
      <c r="C10" s="310"/>
      <c r="D10" s="327"/>
      <c r="E10" s="310"/>
      <c r="F10" s="310"/>
      <c r="G10" s="310"/>
      <c r="H10" s="369"/>
    </row>
    <row r="11" spans="1:8" ht="12.75">
      <c r="A11" s="371"/>
      <c r="B11" s="310"/>
      <c r="C11" s="310"/>
      <c r="D11" s="310"/>
      <c r="E11" s="310"/>
      <c r="F11" s="310"/>
      <c r="G11" s="310"/>
      <c r="H11" s="369"/>
    </row>
    <row r="12" spans="1:8" ht="12.75">
      <c r="A12" s="371" t="s">
        <v>82</v>
      </c>
      <c r="B12" s="310"/>
      <c r="C12" s="310"/>
      <c r="D12" s="399">
        <f>COUNTA('Prijava ekipa i izvlačenje br.'!C2:C36)</f>
        <v>0</v>
      </c>
      <c r="E12" s="310" t="s">
        <v>83</v>
      </c>
      <c r="F12" s="399">
        <f>(COUNTA('Pojedinačni plasman'!A6:A65)-COUNTIF('Pojedinačni plasman'!A6:A65,""))</f>
        <v>0</v>
      </c>
      <c r="G12" s="310" t="s">
        <v>135</v>
      </c>
      <c r="H12" s="407">
        <f>COUNTIF('Žiri natjecanja'!C32:C43,"kapetan")</f>
        <v>0</v>
      </c>
    </row>
    <row r="13" spans="1:8" ht="12.75">
      <c r="A13" s="371" t="s">
        <v>85</v>
      </c>
      <c r="B13" s="327"/>
      <c r="C13" s="327">
        <f>IF(ISBLANK('Organizacija natjecanja'!$H$40)=TRUE,"",'Organizacija natjecanja'!$H$40)</f>
        <v>0</v>
      </c>
      <c r="D13" s="310" t="s">
        <v>86</v>
      </c>
      <c r="E13" s="310" t="s">
        <v>87</v>
      </c>
      <c r="F13" s="389">
        <f>F12+H12+C13</f>
        <v>0</v>
      </c>
      <c r="G13" s="310" t="s">
        <v>88</v>
      </c>
      <c r="H13" s="369"/>
    </row>
    <row r="14" spans="1:8" ht="12.75">
      <c r="A14" s="371"/>
      <c r="B14" s="310"/>
      <c r="C14" s="310"/>
      <c r="D14" s="310"/>
      <c r="E14" s="310"/>
      <c r="F14" s="310"/>
      <c r="G14" s="310"/>
      <c r="H14" s="369"/>
    </row>
    <row r="15" spans="1:8" ht="15.75">
      <c r="A15" s="405" t="s">
        <v>105</v>
      </c>
      <c r="B15" s="310"/>
      <c r="C15" s="310"/>
      <c r="D15" s="310"/>
      <c r="E15" s="310"/>
      <c r="F15" s="310"/>
      <c r="G15" s="310"/>
      <c r="H15" s="369"/>
    </row>
    <row r="16" spans="1:8" ht="12.75">
      <c r="A16" s="408"/>
      <c r="B16" s="310"/>
      <c r="C16" s="310"/>
      <c r="D16" s="310"/>
      <c r="E16" s="310"/>
      <c r="F16" s="310"/>
      <c r="G16" s="310"/>
      <c r="H16" s="369"/>
    </row>
    <row r="17" spans="1:8" ht="12.75">
      <c r="A17" s="392" t="s">
        <v>162</v>
      </c>
      <c r="B17" s="310"/>
      <c r="C17" s="310"/>
      <c r="D17" s="310"/>
      <c r="E17" s="310"/>
      <c r="F17" s="409">
        <f>IF(('Prijava ekipa i izvlačenje br.'!C2)="","",SUM(SUM('Upis rezultata A sektora'!F2:F13),SUM('Upis rezultata B sektora'!F2:F13),SUM('Upis rezultata C sektora'!F2:F13),SUM('Upis rezultata D sektora'!F2:F13),SUM('Upis rezultata E sektora'!F2:F13)))</f>
      </c>
      <c r="G17" s="310"/>
      <c r="H17" s="369"/>
    </row>
    <row r="18" spans="1:8" ht="12.75">
      <c r="A18" s="392" t="s">
        <v>163</v>
      </c>
      <c r="B18" s="310"/>
      <c r="C18" s="310"/>
      <c r="D18" s="310"/>
      <c r="E18" s="310"/>
      <c r="F18" s="410">
        <f>IF(('Prijava ekipa i izvlačenje br.'!C2)="","",MAX(U24,U32,U38,U46,U54))</f>
      </c>
      <c r="G18" s="310"/>
      <c r="H18" s="369"/>
    </row>
    <row r="19" spans="1:8" ht="12.75">
      <c r="A19" s="392" t="s">
        <v>164</v>
      </c>
      <c r="B19" s="310"/>
      <c r="C19" s="310"/>
      <c r="D19" s="310"/>
      <c r="E19" s="310"/>
      <c r="F19" s="410">
        <f>IF(('Prijava ekipa i izvlačenje br.'!C2)="","",MIN(U25,U33,U39,U47,U55))</f>
      </c>
      <c r="G19" s="310"/>
      <c r="H19" s="369"/>
    </row>
    <row r="20" spans="1:8" ht="12.75">
      <c r="A20" s="392" t="s">
        <v>165</v>
      </c>
      <c r="B20" s="310"/>
      <c r="C20" s="310"/>
      <c r="D20" s="310"/>
      <c r="E20" s="310"/>
      <c r="F20" s="410">
        <f>IF(('Prijava ekipa i izvlačenje br.'!C2)="","",AVERAGE('Upis rezultata A sektora'!F2:F13,'Upis rezultata B sektora'!F2:F13,'Upis rezultata C sektora'!F2:F13,'Upis rezultata D sektora'!F2:F13,'Upis rezultata E sektora'!F2:F13))</f>
      </c>
      <c r="G20" s="310"/>
      <c r="H20" s="369"/>
    </row>
    <row r="21" spans="1:19" ht="15.75">
      <c r="A21" s="392" t="s">
        <v>166</v>
      </c>
      <c r="B21" s="310"/>
      <c r="C21" s="310"/>
      <c r="D21" s="310"/>
      <c r="E21" s="310"/>
      <c r="F21" s="310">
        <f>IF(('Prijava ekipa i izvlačenje br.'!C2)="","",U27+U35+U41+U49+U57)</f>
      </c>
      <c r="G21" s="310"/>
      <c r="H21" s="369"/>
      <c r="S21" s="83" t="s">
        <v>96</v>
      </c>
    </row>
    <row r="22" spans="1:8" ht="12.75">
      <c r="A22" s="392"/>
      <c r="B22" s="310"/>
      <c r="C22" s="310"/>
      <c r="D22" s="310"/>
      <c r="E22" s="310"/>
      <c r="F22" s="310"/>
      <c r="G22" s="310"/>
      <c r="H22" s="369"/>
    </row>
    <row r="23" spans="1:24" ht="15.75">
      <c r="A23" s="371"/>
      <c r="B23" s="310"/>
      <c r="C23" s="310"/>
      <c r="D23" s="310"/>
      <c r="E23" s="310"/>
      <c r="F23" s="310"/>
      <c r="G23" s="310"/>
      <c r="H23" s="369"/>
      <c r="S23" s="6" t="s">
        <v>167</v>
      </c>
      <c r="U23" s="66">
        <f>IF(('Prijava ekipa i izvlačenje br.'!C2)="","",SUM('Upis rezultata A sektora'!F2:F13))</f>
      </c>
      <c r="W23" s="121"/>
      <c r="X23" s="83"/>
    </row>
    <row r="24" spans="1:21" ht="12.75">
      <c r="A24" s="371"/>
      <c r="B24" s="310"/>
      <c r="C24" s="310"/>
      <c r="D24" s="310"/>
      <c r="E24" s="310"/>
      <c r="F24" s="310"/>
      <c r="G24" s="310"/>
      <c r="H24" s="369"/>
      <c r="S24" s="6" t="s">
        <v>168</v>
      </c>
      <c r="U24" s="67">
        <f>IF(('Prijava ekipa i izvlačenje br.'!C2)="","",MAX('Upis rezultata A sektora'!F2:F13))</f>
      </c>
    </row>
    <row r="25" spans="1:21" ht="12.75">
      <c r="A25" s="371"/>
      <c r="B25" s="310"/>
      <c r="C25" s="310"/>
      <c r="D25" s="310"/>
      <c r="E25" s="310"/>
      <c r="F25" s="310"/>
      <c r="G25" s="310"/>
      <c r="H25" s="369"/>
      <c r="S25" s="6" t="s">
        <v>169</v>
      </c>
      <c r="U25" s="67">
        <f>IF(('Prijava ekipa i izvlačenje br.'!C2)="","",MIN('Upis rezultata A sektora'!F2:F13))</f>
      </c>
    </row>
    <row r="26" spans="1:21" ht="12.75">
      <c r="A26" s="371"/>
      <c r="B26" s="310"/>
      <c r="C26" s="310"/>
      <c r="D26" s="310"/>
      <c r="E26" s="310"/>
      <c r="F26" s="310"/>
      <c r="G26" s="310"/>
      <c r="H26" s="369"/>
      <c r="S26" s="6" t="s">
        <v>170</v>
      </c>
      <c r="U26" s="67">
        <f>IF(('Prijava ekipa i izvlačenje br.'!C2)="","",AVERAGE('Upis rezultata A sektora'!F2:F13))</f>
      </c>
    </row>
    <row r="27" spans="1:21" ht="12.75">
      <c r="A27" s="371"/>
      <c r="B27" s="310"/>
      <c r="C27" s="310"/>
      <c r="D27" s="310"/>
      <c r="E27" s="310"/>
      <c r="F27" s="310"/>
      <c r="G27" s="310"/>
      <c r="H27" s="369"/>
      <c r="S27" s="6" t="s">
        <v>171</v>
      </c>
      <c r="U27" s="6">
        <f>IF(('Prijava ekipa i izvlačenje br.'!C2)="","",COUNTIF('Upis rezultata A sektora'!F2:F13,0))</f>
      </c>
    </row>
    <row r="28" spans="1:8" ht="12.75">
      <c r="A28" s="371"/>
      <c r="B28" s="310"/>
      <c r="C28" s="310"/>
      <c r="D28" s="310"/>
      <c r="E28" s="310"/>
      <c r="F28" s="310"/>
      <c r="G28" s="310"/>
      <c r="H28" s="369"/>
    </row>
    <row r="29" spans="1:19" ht="15.75">
      <c r="A29" s="371"/>
      <c r="B29" s="310"/>
      <c r="C29" s="310"/>
      <c r="D29" s="310"/>
      <c r="E29" s="310"/>
      <c r="F29" s="310"/>
      <c r="G29" s="310"/>
      <c r="H29" s="369"/>
      <c r="S29" s="83" t="s">
        <v>97</v>
      </c>
    </row>
    <row r="30" spans="1:8" ht="12.75">
      <c r="A30" s="371"/>
      <c r="B30" s="310"/>
      <c r="C30" s="310"/>
      <c r="D30" s="310"/>
      <c r="E30" s="310"/>
      <c r="F30" s="310"/>
      <c r="G30" s="310"/>
      <c r="H30" s="369"/>
    </row>
    <row r="31" spans="1:24" ht="15.75">
      <c r="A31" s="371"/>
      <c r="B31" s="310"/>
      <c r="C31" s="310"/>
      <c r="D31" s="310"/>
      <c r="E31" s="310"/>
      <c r="F31" s="310"/>
      <c r="G31" s="310"/>
      <c r="H31" s="369"/>
      <c r="S31" s="6" t="s">
        <v>167</v>
      </c>
      <c r="U31" s="66">
        <f>IF(('Prijava ekipa i izvlačenje br.'!C2)="","",SUM('Upis rezultata B sektora'!F2:F13))</f>
      </c>
      <c r="W31" s="121"/>
      <c r="X31" s="83"/>
    </row>
    <row r="32" spans="1:21" ht="12.75">
      <c r="A32" s="371"/>
      <c r="B32" s="310"/>
      <c r="C32" s="310"/>
      <c r="D32" s="310"/>
      <c r="E32" s="310"/>
      <c r="F32" s="310"/>
      <c r="G32" s="310"/>
      <c r="H32" s="369"/>
      <c r="S32" s="6" t="s">
        <v>168</v>
      </c>
      <c r="U32" s="67">
        <f>IF(('Prijava ekipa i izvlačenje br.'!C2)="","",MAX('Upis rezultata B sektora'!F2:F13))</f>
      </c>
    </row>
    <row r="33" spans="1:21" ht="12.75">
      <c r="A33" s="371"/>
      <c r="B33" s="310"/>
      <c r="C33" s="310"/>
      <c r="D33" s="310"/>
      <c r="E33" s="310"/>
      <c r="F33" s="310"/>
      <c r="G33" s="310"/>
      <c r="H33" s="369"/>
      <c r="S33" s="6" t="s">
        <v>169</v>
      </c>
      <c r="U33" s="67">
        <f>IF(('Prijava ekipa i izvlačenje br.'!C2)="","",MIN('Upis rezultata B sektora'!F2:F13))</f>
      </c>
    </row>
    <row r="34" spans="1:21" ht="12.75">
      <c r="A34" s="371"/>
      <c r="B34" s="310"/>
      <c r="C34" s="310"/>
      <c r="D34" s="310"/>
      <c r="E34" s="310"/>
      <c r="F34" s="310"/>
      <c r="G34" s="310"/>
      <c r="H34" s="369"/>
      <c r="S34" s="6" t="s">
        <v>170</v>
      </c>
      <c r="U34" s="67">
        <f>IF(('Prijava ekipa i izvlačenje br.'!C2)="","",AVERAGE('Upis rezultata B sektora'!F2:F13))</f>
      </c>
    </row>
    <row r="35" spans="1:21" ht="12.75">
      <c r="A35" s="371"/>
      <c r="B35" s="310"/>
      <c r="C35" s="310"/>
      <c r="D35" s="310"/>
      <c r="E35" s="310"/>
      <c r="F35" s="310"/>
      <c r="G35" s="310"/>
      <c r="H35" s="369"/>
      <c r="S35" s="6" t="s">
        <v>171</v>
      </c>
      <c r="U35" s="6">
        <f>IF(('Prijava ekipa i izvlačenje br.'!C2)="","",COUNTIF('Upis rezultata B sektora'!F2:F13,0))</f>
      </c>
    </row>
    <row r="36" spans="1:19" ht="15.75">
      <c r="A36" s="371"/>
      <c r="B36" s="310"/>
      <c r="C36" s="310"/>
      <c r="D36" s="310"/>
      <c r="E36" s="310"/>
      <c r="F36" s="310"/>
      <c r="G36" s="310"/>
      <c r="H36" s="369"/>
      <c r="S36" s="83" t="s">
        <v>98</v>
      </c>
    </row>
    <row r="37" spans="1:24" ht="15.75">
      <c r="A37" s="371"/>
      <c r="B37" s="310"/>
      <c r="C37" s="310"/>
      <c r="D37" s="310"/>
      <c r="E37" s="310"/>
      <c r="F37" s="310"/>
      <c r="G37" s="310"/>
      <c r="H37" s="369"/>
      <c r="S37" s="6" t="s">
        <v>167</v>
      </c>
      <c r="U37" s="66">
        <f>IF(('Prijava ekipa i izvlačenje br.'!C2)="","",SUM('Upis rezultata C sektora'!F2:F13))</f>
      </c>
      <c r="V37" s="7"/>
      <c r="W37" s="121"/>
      <c r="X37" s="83"/>
    </row>
    <row r="38" spans="1:21" ht="12.75">
      <c r="A38" s="371"/>
      <c r="B38" s="310"/>
      <c r="C38" s="310"/>
      <c r="D38" s="310"/>
      <c r="E38" s="310"/>
      <c r="F38" s="310"/>
      <c r="G38" s="310"/>
      <c r="H38" s="369"/>
      <c r="S38" s="6" t="s">
        <v>168</v>
      </c>
      <c r="U38" s="67">
        <f>IF(('Prijava ekipa i izvlačenje br.'!C2)="","",MAX('Upis rezultata C sektora'!F2:F13))</f>
      </c>
    </row>
    <row r="39" spans="1:21" ht="12.75">
      <c r="A39" s="371"/>
      <c r="B39" s="310"/>
      <c r="C39" s="310"/>
      <c r="D39" s="310"/>
      <c r="E39" s="310"/>
      <c r="F39" s="310"/>
      <c r="G39" s="310"/>
      <c r="H39" s="369"/>
      <c r="S39" s="6" t="s">
        <v>169</v>
      </c>
      <c r="U39" s="67">
        <f>IF(('Prijava ekipa i izvlačenje br.'!C2)="","",MIN('Upis rezultata C sektora'!F2:F13))</f>
      </c>
    </row>
    <row r="40" spans="1:21" ht="12.75">
      <c r="A40" s="371"/>
      <c r="B40" s="310"/>
      <c r="C40" s="310"/>
      <c r="D40" s="310"/>
      <c r="E40" s="310"/>
      <c r="F40" s="310"/>
      <c r="G40" s="310"/>
      <c r="H40" s="369"/>
      <c r="S40" s="6" t="s">
        <v>170</v>
      </c>
      <c r="U40" s="67">
        <f>IF(('Prijava ekipa i izvlačenje br.'!C2)="","",AVERAGE('Upis rezultata C sektora'!F2:F13))</f>
      </c>
    </row>
    <row r="41" spans="1:25" ht="12.75">
      <c r="A41" s="371"/>
      <c r="B41" s="310"/>
      <c r="C41" s="310"/>
      <c r="D41" s="310"/>
      <c r="E41" s="310"/>
      <c r="F41" s="310"/>
      <c r="G41" s="310"/>
      <c r="H41" s="369"/>
      <c r="S41" s="26" t="s">
        <v>171</v>
      </c>
      <c r="T41" s="26"/>
      <c r="U41" s="26">
        <f>IF(('Prijava ekipa i izvlačenje br.'!C2)="","",COUNTIF('Upis rezultata C sektora'!F2:F13,0))</f>
      </c>
      <c r="V41" s="26"/>
      <c r="W41" s="26"/>
      <c r="X41" s="26"/>
      <c r="Y41" s="26"/>
    </row>
    <row r="42" spans="1:8" ht="12.75">
      <c r="A42" s="371"/>
      <c r="B42" s="310"/>
      <c r="C42" s="310"/>
      <c r="D42" s="310"/>
      <c r="E42" s="310"/>
      <c r="F42" s="310"/>
      <c r="G42" s="310"/>
      <c r="H42" s="369"/>
    </row>
    <row r="43" spans="1:19" ht="15.75">
      <c r="A43" s="371"/>
      <c r="B43" s="310"/>
      <c r="C43" s="310"/>
      <c r="D43" s="310"/>
      <c r="E43" s="310"/>
      <c r="F43" s="310"/>
      <c r="G43" s="310"/>
      <c r="H43" s="369"/>
      <c r="S43" s="83" t="s">
        <v>99</v>
      </c>
    </row>
    <row r="44" spans="1:8" ht="12.75">
      <c r="A44" s="371"/>
      <c r="B44" s="310"/>
      <c r="C44" s="310"/>
      <c r="D44" s="310"/>
      <c r="E44" s="310"/>
      <c r="F44" s="310"/>
      <c r="G44" s="310"/>
      <c r="H44" s="369"/>
    </row>
    <row r="45" spans="1:24" ht="15.75">
      <c r="A45" s="371"/>
      <c r="B45" s="310"/>
      <c r="C45" s="310"/>
      <c r="D45" s="310"/>
      <c r="E45" s="310"/>
      <c r="F45" s="310"/>
      <c r="G45" s="310"/>
      <c r="H45" s="369"/>
      <c r="S45" s="6" t="s">
        <v>167</v>
      </c>
      <c r="U45" s="66">
        <f>IF(('Prijava ekipa i izvlačenje br.'!C2)="","",SUM('Upis rezultata D sektora'!F2:F13))</f>
      </c>
      <c r="V45" s="7"/>
      <c r="W45" s="121"/>
      <c r="X45" s="83"/>
    </row>
    <row r="46" spans="1:21" ht="12.75">
      <c r="A46" s="371"/>
      <c r="B46" s="310"/>
      <c r="C46" s="310"/>
      <c r="D46" s="310"/>
      <c r="E46" s="310"/>
      <c r="F46" s="310"/>
      <c r="G46" s="310"/>
      <c r="H46" s="369"/>
      <c r="S46" s="6" t="s">
        <v>168</v>
      </c>
      <c r="U46" s="67">
        <f>IF(('Prijava ekipa i izvlačenje br.'!C2)="","",MAX('Upis rezultata D sektora'!F2:F13))</f>
      </c>
    </row>
    <row r="47" spans="1:21" ht="12.75">
      <c r="A47" s="371"/>
      <c r="B47" s="310"/>
      <c r="C47" s="310"/>
      <c r="D47" s="310"/>
      <c r="E47" s="310"/>
      <c r="F47" s="310"/>
      <c r="G47" s="310"/>
      <c r="H47" s="369"/>
      <c r="S47" s="6" t="s">
        <v>169</v>
      </c>
      <c r="U47" s="67">
        <f>IF(('Prijava ekipa i izvlačenje br.'!C2)="","",MIN('Upis rezultata D sektora'!F2:F13))</f>
      </c>
    </row>
    <row r="48" spans="1:21" ht="12.75">
      <c r="A48" s="371"/>
      <c r="B48" s="310"/>
      <c r="C48" s="310"/>
      <c r="D48" s="310"/>
      <c r="E48" s="310"/>
      <c r="F48" s="310"/>
      <c r="G48" s="310"/>
      <c r="H48" s="369"/>
      <c r="S48" s="6" t="s">
        <v>170</v>
      </c>
      <c r="U48" s="67">
        <f>IF(('Prijava ekipa i izvlačenje br.'!C2)="","",AVERAGE('Upis rezultata D sektora'!F2:F13))</f>
      </c>
    </row>
    <row r="49" spans="1:21" ht="12.75">
      <c r="A49" s="371"/>
      <c r="B49" s="310"/>
      <c r="C49" s="310"/>
      <c r="D49" s="310"/>
      <c r="E49" s="310"/>
      <c r="F49" s="310"/>
      <c r="G49" s="310"/>
      <c r="H49" s="369"/>
      <c r="S49" s="6" t="s">
        <v>171</v>
      </c>
      <c r="U49" s="6">
        <f>IF(('Prijava ekipa i izvlačenje br.'!C2)="","",COUNTIF('Upis rezultata D sektora'!F2:F13,0))</f>
      </c>
    </row>
    <row r="50" spans="1:8" ht="12.75">
      <c r="A50" s="371"/>
      <c r="B50" s="310"/>
      <c r="C50" s="310"/>
      <c r="D50" s="310"/>
      <c r="E50" s="310"/>
      <c r="F50" s="310"/>
      <c r="G50" s="310"/>
      <c r="H50" s="369"/>
    </row>
    <row r="51" spans="1:19" ht="15.75">
      <c r="A51" s="371"/>
      <c r="B51" s="310"/>
      <c r="C51" s="310"/>
      <c r="D51" s="310"/>
      <c r="E51" s="310"/>
      <c r="F51" s="310"/>
      <c r="G51" s="310"/>
      <c r="H51" s="369"/>
      <c r="S51" s="83" t="s">
        <v>100</v>
      </c>
    </row>
    <row r="52" spans="1:8" ht="12.75">
      <c r="A52" s="371"/>
      <c r="B52" s="310"/>
      <c r="C52" s="310"/>
      <c r="D52" s="310"/>
      <c r="E52" s="310"/>
      <c r="F52" s="310"/>
      <c r="G52" s="310"/>
      <c r="H52" s="369"/>
    </row>
    <row r="53" spans="1:24" ht="15.75">
      <c r="A53" s="377"/>
      <c r="B53" s="313"/>
      <c r="C53" s="313"/>
      <c r="D53" s="313"/>
      <c r="E53" s="313"/>
      <c r="F53" s="313"/>
      <c r="G53" s="313"/>
      <c r="H53" s="370"/>
      <c r="S53" s="6" t="s">
        <v>167</v>
      </c>
      <c r="U53" s="66">
        <f>IF(('Prijava ekipa i izvlačenje br.'!C2)="","",SUM('Upis rezultata E sektora'!F2:F13))</f>
      </c>
      <c r="V53" s="7"/>
      <c r="W53" s="121"/>
      <c r="X53" s="83"/>
    </row>
    <row r="54" spans="19:21" ht="12.75">
      <c r="S54" s="6" t="s">
        <v>168</v>
      </c>
      <c r="U54" s="67">
        <f>IF(('Prijava ekipa i izvlačenje br.'!C2)="","",MAX('Upis rezultata E sektora'!F2:F13))</f>
      </c>
    </row>
    <row r="55" spans="19:21" ht="12.75">
      <c r="S55" s="6" t="s">
        <v>169</v>
      </c>
      <c r="U55" s="67">
        <f>IF(('Prijava ekipa i izvlačenje br.'!C2)="","",MIN('Upis rezultata E sektora'!F2:F13))</f>
      </c>
    </row>
    <row r="56" spans="19:21" ht="12.75">
      <c r="S56" s="6" t="s">
        <v>170</v>
      </c>
      <c r="U56" s="67">
        <f>IF(('Prijava ekipa i izvlačenje br.'!C2)="","",AVERAGE('Upis rezultata E sektora'!F2:F13))</f>
      </c>
    </row>
    <row r="57" spans="19:21" ht="12.75">
      <c r="S57" s="6" t="s">
        <v>171</v>
      </c>
      <c r="U57" s="6">
        <f>IF(('Prijava ekipa i izvlačenje br.'!C2)="","",COUNTIF('Upis rezultata E sektora'!F2:F13,0))</f>
      </c>
    </row>
    <row r="61" spans="21:25" ht="12.75">
      <c r="U61" s="6" t="s">
        <v>26</v>
      </c>
      <c r="V61" s="6" t="s">
        <v>25</v>
      </c>
      <c r="W61" s="6" t="s">
        <v>24</v>
      </c>
      <c r="X61" s="6" t="s">
        <v>28</v>
      </c>
      <c r="Y61" s="6" t="s">
        <v>27</v>
      </c>
    </row>
    <row r="62" spans="19:25" ht="12.75">
      <c r="S62" s="6" t="s">
        <v>167</v>
      </c>
      <c r="U62" s="67">
        <f>U23</f>
      </c>
      <c r="V62" s="67">
        <f>U31</f>
      </c>
      <c r="W62" s="67">
        <f>U37</f>
      </c>
      <c r="X62" s="67">
        <f>U45</f>
      </c>
      <c r="Y62" s="67">
        <f>U53</f>
      </c>
    </row>
    <row r="63" spans="19:25" ht="12.75">
      <c r="S63" s="6" t="s">
        <v>168</v>
      </c>
      <c r="U63" s="67">
        <f>U24</f>
      </c>
      <c r="V63" s="67">
        <f>U32</f>
      </c>
      <c r="W63" s="67">
        <f>U38</f>
      </c>
      <c r="X63" s="67">
        <f>U46</f>
      </c>
      <c r="Y63" s="67">
        <f>U54</f>
      </c>
    </row>
    <row r="64" spans="19:25" ht="12.75">
      <c r="S64" s="6" t="s">
        <v>169</v>
      </c>
      <c r="U64" s="67">
        <f>U25</f>
      </c>
      <c r="V64" s="67">
        <f>U33</f>
      </c>
      <c r="W64" s="67">
        <f>U39</f>
      </c>
      <c r="X64" s="67">
        <f>U47</f>
      </c>
      <c r="Y64" s="67">
        <f>U55</f>
      </c>
    </row>
    <row r="65" spans="19:25" ht="12.75">
      <c r="S65" s="6" t="s">
        <v>170</v>
      </c>
      <c r="U65" s="67">
        <f>U26</f>
      </c>
      <c r="V65" s="67">
        <f>U34</f>
      </c>
      <c r="W65" s="67">
        <f>U40</f>
      </c>
      <c r="X65" s="67">
        <f>U48</f>
      </c>
      <c r="Y65" s="67">
        <f>U56</f>
      </c>
    </row>
    <row r="66" spans="19:25" ht="12.75">
      <c r="S66" s="6" t="s">
        <v>171</v>
      </c>
      <c r="U66" s="67">
        <f>U27</f>
      </c>
      <c r="V66" s="67">
        <f>U35</f>
      </c>
      <c r="W66" s="67">
        <f>U41</f>
      </c>
      <c r="X66" s="67">
        <f>U49</f>
      </c>
      <c r="Y66" s="67">
        <f>U57</f>
      </c>
    </row>
    <row r="90" spans="1:8" ht="12.75">
      <c r="A90" s="26"/>
      <c r="B90" s="26"/>
      <c r="C90" s="26"/>
      <c r="D90" s="26"/>
      <c r="E90" s="26"/>
      <c r="F90" s="26"/>
      <c r="G90" s="26"/>
      <c r="H90" s="26"/>
    </row>
  </sheetData>
  <sheetProtection password="C822" sheet="1" objects="1" scenarios="1"/>
  <printOptions horizontalCentered="1"/>
  <pageMargins left="0.984251968503937" right="0.984251968503937" top="0.7874015748031497" bottom="1.0236220472440944" header="0.5905511811023623" footer="0.5511811023622047"/>
  <pageSetup horizontalDpi="300" verticalDpi="300" orientation="portrait" paperSize="9" r:id="rId4"/>
  <headerFooter alignWithMargins="0">
    <oddFooter>&amp;C&amp;"Arial,Kurziv"&amp;12&amp;YProgram za izračun rezultata i provođenje natjecanja</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Sheet25">
    <tabColor indexed="51"/>
  </sheetPr>
  <dimension ref="A1:T14"/>
  <sheetViews>
    <sheetView showRowColHeaders="0" zoomScale="48" zoomScaleNormal="48" zoomScalePageLayoutView="0" workbookViewId="0" topLeftCell="A1">
      <selection activeCell="T3" sqref="T3"/>
    </sheetView>
  </sheetViews>
  <sheetFormatPr defaultColWidth="9.140625" defaultRowHeight="12.75"/>
  <cols>
    <col min="1" max="1" width="9.28125" style="130" customWidth="1"/>
    <col min="2" max="2" width="22.8515625" style="6" customWidth="1"/>
    <col min="3" max="3" width="20.421875" style="6" customWidth="1"/>
    <col min="4" max="4" width="10.28125" style="6" customWidth="1"/>
    <col min="5" max="5" width="20.421875" style="6" customWidth="1"/>
    <col min="6" max="6" width="10.421875" style="6" customWidth="1"/>
    <col min="7" max="7" width="20.421875" style="6" customWidth="1"/>
    <col min="8" max="8" width="10.421875" style="6" customWidth="1"/>
    <col min="9" max="9" width="20.421875" style="6" customWidth="1"/>
    <col min="10" max="10" width="10.421875" style="6" customWidth="1"/>
    <col min="11" max="11" width="20.421875" style="6" customWidth="1"/>
    <col min="12" max="12" width="10.421875" style="6" customWidth="1"/>
    <col min="13" max="13" width="15.57421875" style="68" customWidth="1"/>
    <col min="14" max="14" width="15.57421875" style="197" customWidth="1"/>
    <col min="15" max="15" width="18.7109375" style="68" customWidth="1"/>
    <col min="16" max="19" width="9.140625" style="68" customWidth="1"/>
    <col min="20" max="20" width="11.00390625" style="68" customWidth="1"/>
    <col min="21" max="16384" width="9.140625" style="6" customWidth="1"/>
  </cols>
  <sheetData>
    <row r="1" spans="1:20" s="72" customFormat="1" ht="20.25">
      <c r="A1" s="131"/>
      <c r="M1" s="68"/>
      <c r="N1" s="197"/>
      <c r="O1" s="68"/>
      <c r="P1" s="68"/>
      <c r="Q1" s="68"/>
      <c r="R1" s="68"/>
      <c r="S1" s="68"/>
      <c r="T1" s="68"/>
    </row>
    <row r="2" spans="1:18" s="116" customFormat="1" ht="34.5" customHeight="1">
      <c r="A2" s="240" t="s">
        <v>107</v>
      </c>
      <c r="B2" s="239" t="s">
        <v>93</v>
      </c>
      <c r="C2" s="513" t="s">
        <v>96</v>
      </c>
      <c r="D2" s="514"/>
      <c r="E2" s="513" t="s">
        <v>97</v>
      </c>
      <c r="F2" s="514"/>
      <c r="G2" s="513" t="s">
        <v>98</v>
      </c>
      <c r="H2" s="514"/>
      <c r="I2" s="513" t="s">
        <v>99</v>
      </c>
      <c r="J2" s="514"/>
      <c r="K2" s="513" t="s">
        <v>100</v>
      </c>
      <c r="L2" s="514"/>
      <c r="M2" s="241"/>
      <c r="N2" s="242"/>
      <c r="O2" s="241"/>
      <c r="P2" s="241"/>
      <c r="Q2" s="241"/>
      <c r="R2" s="243"/>
    </row>
    <row r="3" spans="1:20" s="72" customFormat="1" ht="84" customHeight="1">
      <c r="A3" s="234">
        <v>1</v>
      </c>
      <c r="B3" s="235">
        <f>IF(ISBLANK('Prijava ekipa i izvlačenje br.'!C2)=TRUE,"",'Prijava ekipa i izvlačenje br.'!C2)</f>
      </c>
      <c r="C3" s="236">
        <f>IF(COUNTIF('Prijava ekipa i izvlačenje br.'!$E2,"A")=1,'Prijava ekipa i izvlačenje br.'!$D2,IF(COUNTIF('Prijava ekipa i izvlačenje br.'!$H2,"A")=1,'Prijava ekipa i izvlačenje br.'!$G2,IF(COUNTIF('Prijava ekipa i izvlačenje br.'!$K2,"A")=1,'Prijava ekipa i izvlačenje br.'!$J2,IF(COUNTIF('Prijava ekipa i izvlačenje br.'!$N2,"A")=1,'Prijava ekipa i izvlačenje br.'!$M2,IF(COUNTIF('Prijava ekipa i izvlačenje br.'!$Q2,"A")=1,'Prijava ekipa i izvlačenje br.'!$P2,"")))))</f>
      </c>
      <c r="D3" s="237">
        <f>IF(ISBLANK('Upis rezultata A sektora'!F2)=TRUE,"",'Upis rezultata A sektora'!F2)</f>
      </c>
      <c r="E3" s="238">
        <f>IF(COUNTIF('Prijava ekipa i izvlačenje br.'!$E2,"B")=1,'Prijava ekipa i izvlačenje br.'!$D2,IF(COUNTIF('Prijava ekipa i izvlačenje br.'!$H2,"B")=1,'Prijava ekipa i izvlačenje br.'!$G2,IF(COUNTIF('Prijava ekipa i izvlačenje br.'!$K2,"B")=1,'Prijava ekipa i izvlačenje br.'!$J2,IF(COUNTIF('Prijava ekipa i izvlačenje br.'!$N2,"B")=1,'Prijava ekipa i izvlačenje br.'!$M2,IF(COUNTIF('Prijava ekipa i izvlačenje br.'!$Q2,"B")=1,'Prijava ekipa i izvlačenje br.'!$P2,"")))))</f>
      </c>
      <c r="F3" s="237">
        <f>IF(ISBLANK('Upis rezultata B sektora'!F2)=TRUE,"",'Upis rezultata B sektora'!F2)</f>
      </c>
      <c r="G3" s="238">
        <f>IF(COUNTIF('Prijava ekipa i izvlačenje br.'!$E2,"C")=1,'Prijava ekipa i izvlačenje br.'!$D2,IF(COUNTIF('Prijava ekipa i izvlačenje br.'!$H2,"C")=1,'Prijava ekipa i izvlačenje br.'!$G2,IF(COUNTIF('Prijava ekipa i izvlačenje br.'!$K2,"C")=1,'Prijava ekipa i izvlačenje br.'!$J2,IF(COUNTIF('Prijava ekipa i izvlačenje br.'!$N2,"C")=1,'Prijava ekipa i izvlačenje br.'!$M2,IF(COUNTIF('Prijava ekipa i izvlačenje br.'!$Q2,"C")=1,'Prijava ekipa i izvlačenje br.'!$P2,"")))))</f>
      </c>
      <c r="H3" s="237">
        <f>IF(ISBLANK('Upis rezultata C sektora'!F2)=TRUE,"",'Upis rezultata C sektora'!F2)</f>
      </c>
      <c r="I3" s="238">
        <f>IF(COUNTIF('Prijava ekipa i izvlačenje br.'!$E2,"D")=1,'Prijava ekipa i izvlačenje br.'!$D2,IF(COUNTIF('Prijava ekipa i izvlačenje br.'!$H2,"D")=1,'Prijava ekipa i izvlačenje br.'!$G2,IF(COUNTIF('Prijava ekipa i izvlačenje br.'!$K2,"D")=1,'Prijava ekipa i izvlačenje br.'!$J2,IF(COUNTIF('Prijava ekipa i izvlačenje br.'!$N2,"D")=1,'Prijava ekipa i izvlačenje br.'!$M2,IF(COUNTIF('Prijava ekipa i izvlačenje br.'!$Q2,"D")=1,'Prijava ekipa i izvlačenje br.'!$P2,"")))))</f>
      </c>
      <c r="J3" s="237">
        <f>IF(ISBLANK('Upis rezultata D sektora'!F2)=TRUE,"",'Upis rezultata D sektora'!F2)</f>
      </c>
      <c r="K3" s="238">
        <f>IF(COUNTIF('Prijava ekipa i izvlačenje br.'!$E2,"E")=1,'Prijava ekipa i izvlačenje br.'!$D2,IF(COUNTIF('Prijava ekipa i izvlačenje br.'!$H2,"E")=1,'Prijava ekipa i izvlačenje br.'!$G2,IF(COUNTIF('Prijava ekipa i izvlačenje br.'!$K2,"E")=1,'Prijava ekipa i izvlačenje br.'!$J2,IF(COUNTIF('Prijava ekipa i izvlačenje br.'!$N2,"E")=1,'Prijava ekipa i izvlačenje br.'!$M2,IF(COUNTIF('Prijava ekipa i izvlačenje br.'!$Q2,"E")=1,'Prijava ekipa i izvlačenje br.'!$P2,"")))))</f>
      </c>
      <c r="L3" s="237">
        <f>IF(ISBLANK('Upis rezultata E sektora'!F2)=TRUE,"",'Upis rezultata E sektora'!F2)</f>
      </c>
      <c r="M3" s="244"/>
      <c r="N3" s="245"/>
      <c r="O3" s="90"/>
      <c r="P3" s="90"/>
      <c r="Q3" s="90"/>
      <c r="R3" s="91"/>
      <c r="S3" s="68"/>
      <c r="T3" s="68"/>
    </row>
    <row r="4" spans="1:20" s="72" customFormat="1" ht="84" customHeight="1">
      <c r="A4" s="234">
        <v>2</v>
      </c>
      <c r="B4" s="235">
        <f>IF(ISBLANK('Prijava ekipa i izvlačenje br.'!C3)=TRUE,"",'Prijava ekipa i izvlačenje br.'!C3)</f>
      </c>
      <c r="C4" s="236">
        <f>IF(COUNTIF('Prijava ekipa i izvlačenje br.'!$E3,"A")=1,'Prijava ekipa i izvlačenje br.'!$D3,IF(COUNTIF('Prijava ekipa i izvlačenje br.'!$H3,"A")=1,'Prijava ekipa i izvlačenje br.'!$G3,IF(COUNTIF('Prijava ekipa i izvlačenje br.'!$K3,"A")=1,'Prijava ekipa i izvlačenje br.'!$J3,IF(COUNTIF('Prijava ekipa i izvlačenje br.'!$N3,"A")=1,'Prijava ekipa i izvlačenje br.'!$M3,IF(COUNTIF('Prijava ekipa i izvlačenje br.'!$Q3,"A")=1,'Prijava ekipa i izvlačenje br.'!$P3,"")))))</f>
      </c>
      <c r="D4" s="237">
        <f>IF(ISBLANK('Upis rezultata A sektora'!F3)=TRUE,"",'Upis rezultata A sektora'!F3)</f>
      </c>
      <c r="E4" s="238">
        <f>IF(COUNTIF('Prijava ekipa i izvlačenje br.'!$E3,"B")=1,'Prijava ekipa i izvlačenje br.'!$D3,IF(COUNTIF('Prijava ekipa i izvlačenje br.'!$H3,"B")=1,'Prijava ekipa i izvlačenje br.'!$G3,IF(COUNTIF('Prijava ekipa i izvlačenje br.'!$K3,"B")=1,'Prijava ekipa i izvlačenje br.'!$J3,IF(COUNTIF('Prijava ekipa i izvlačenje br.'!$N3,"B")=1,'Prijava ekipa i izvlačenje br.'!$M3,IF(COUNTIF('Prijava ekipa i izvlačenje br.'!$Q3,"B")=1,'Prijava ekipa i izvlačenje br.'!$P3,"")))))</f>
      </c>
      <c r="F4" s="237">
        <f>IF(ISBLANK('Upis rezultata B sektora'!F3)=TRUE,"",'Upis rezultata B sektora'!F3)</f>
      </c>
      <c r="G4" s="238">
        <f>IF(COUNTIF('Prijava ekipa i izvlačenje br.'!$E3,"C")=1,'Prijava ekipa i izvlačenje br.'!$D3,IF(COUNTIF('Prijava ekipa i izvlačenje br.'!$H3,"C")=1,'Prijava ekipa i izvlačenje br.'!$G3,IF(COUNTIF('Prijava ekipa i izvlačenje br.'!$K3,"C")=1,'Prijava ekipa i izvlačenje br.'!$J3,IF(COUNTIF('Prijava ekipa i izvlačenje br.'!$N3,"C")=1,'Prijava ekipa i izvlačenje br.'!$M3,IF(COUNTIF('Prijava ekipa i izvlačenje br.'!$Q3,"C")=1,'Prijava ekipa i izvlačenje br.'!$P3,"")))))</f>
      </c>
      <c r="H4" s="237">
        <f>IF(ISBLANK('Upis rezultata C sektora'!F3)=TRUE,"",'Upis rezultata C sektora'!F3)</f>
      </c>
      <c r="I4" s="238">
        <f>IF(COUNTIF('Prijava ekipa i izvlačenje br.'!$E3,"D")=1,'Prijava ekipa i izvlačenje br.'!$D3,IF(COUNTIF('Prijava ekipa i izvlačenje br.'!$H3,"D")=1,'Prijava ekipa i izvlačenje br.'!$G3,IF(COUNTIF('Prijava ekipa i izvlačenje br.'!$K3,"D")=1,'Prijava ekipa i izvlačenje br.'!$J3,IF(COUNTIF('Prijava ekipa i izvlačenje br.'!$N3,"D")=1,'Prijava ekipa i izvlačenje br.'!$M3,IF(COUNTIF('Prijava ekipa i izvlačenje br.'!$Q3,"D")=1,'Prijava ekipa i izvlačenje br.'!$P3,"")))))</f>
      </c>
      <c r="J4" s="237">
        <f>IF(ISBLANK('Upis rezultata D sektora'!F3)=TRUE,"",'Upis rezultata D sektora'!F3)</f>
      </c>
      <c r="K4" s="238">
        <f>IF(COUNTIF('Prijava ekipa i izvlačenje br.'!$E3,"E")=1,'Prijava ekipa i izvlačenje br.'!$D3,IF(COUNTIF('Prijava ekipa i izvlačenje br.'!$H3,"E")=1,'Prijava ekipa i izvlačenje br.'!$G3,IF(COUNTIF('Prijava ekipa i izvlačenje br.'!$K3,"E")=1,'Prijava ekipa i izvlačenje br.'!$J3,IF(COUNTIF('Prijava ekipa i izvlačenje br.'!$N3,"E")=1,'Prijava ekipa i izvlačenje br.'!$M3,IF(COUNTIF('Prijava ekipa i izvlačenje br.'!$Q3,"E")=1,'Prijava ekipa i izvlačenje br.'!$P3,"")))))</f>
      </c>
      <c r="L4" s="237">
        <f>IF(ISBLANK('Upis rezultata E sektora'!F3)=TRUE,"",'Upis rezultata E sektora'!F3)</f>
      </c>
      <c r="M4" s="244"/>
      <c r="N4" s="245"/>
      <c r="O4" s="90"/>
      <c r="P4" s="90"/>
      <c r="Q4" s="90"/>
      <c r="R4" s="91"/>
      <c r="S4" s="68"/>
      <c r="T4" s="68"/>
    </row>
    <row r="5" spans="1:20" s="72" customFormat="1" ht="84" customHeight="1">
      <c r="A5" s="234">
        <v>3</v>
      </c>
      <c r="B5" s="235">
        <f>IF(ISBLANK('Prijava ekipa i izvlačenje br.'!C4)=TRUE,"",'Prijava ekipa i izvlačenje br.'!C4)</f>
      </c>
      <c r="C5" s="236">
        <f>IF(COUNTIF('Prijava ekipa i izvlačenje br.'!$E4,"A")=1,'Prijava ekipa i izvlačenje br.'!$D4,IF(COUNTIF('Prijava ekipa i izvlačenje br.'!$H4,"A")=1,'Prijava ekipa i izvlačenje br.'!$G4,IF(COUNTIF('Prijava ekipa i izvlačenje br.'!$K4,"A")=1,'Prijava ekipa i izvlačenje br.'!$J4,IF(COUNTIF('Prijava ekipa i izvlačenje br.'!$N4,"A")=1,'Prijava ekipa i izvlačenje br.'!$M4,IF(COUNTIF('Prijava ekipa i izvlačenje br.'!$Q4,"A")=1,'Prijava ekipa i izvlačenje br.'!$P4,"")))))</f>
      </c>
      <c r="D5" s="237">
        <f>IF(ISBLANK('Upis rezultata A sektora'!F4)=TRUE,"",'Upis rezultata A sektora'!F4)</f>
      </c>
      <c r="E5" s="238">
        <f>IF(COUNTIF('Prijava ekipa i izvlačenje br.'!$E4,"B")=1,'Prijava ekipa i izvlačenje br.'!$D4,IF(COUNTIF('Prijava ekipa i izvlačenje br.'!$H4,"B")=1,'Prijava ekipa i izvlačenje br.'!$G4,IF(COUNTIF('Prijava ekipa i izvlačenje br.'!$K4,"B")=1,'Prijava ekipa i izvlačenje br.'!$J4,IF(COUNTIF('Prijava ekipa i izvlačenje br.'!$N4,"B")=1,'Prijava ekipa i izvlačenje br.'!$M4,IF(COUNTIF('Prijava ekipa i izvlačenje br.'!$Q4,"B")=1,'Prijava ekipa i izvlačenje br.'!$P4,"")))))</f>
      </c>
      <c r="F5" s="237">
        <f>IF(ISBLANK('Upis rezultata B sektora'!F4)=TRUE,"",'Upis rezultata B sektora'!F4)</f>
      </c>
      <c r="G5" s="238">
        <f>IF(COUNTIF('Prijava ekipa i izvlačenje br.'!$E4,"C")=1,'Prijava ekipa i izvlačenje br.'!$D4,IF(COUNTIF('Prijava ekipa i izvlačenje br.'!$H4,"C")=1,'Prijava ekipa i izvlačenje br.'!$G4,IF(COUNTIF('Prijava ekipa i izvlačenje br.'!$K4,"C")=1,'Prijava ekipa i izvlačenje br.'!$J4,IF(COUNTIF('Prijava ekipa i izvlačenje br.'!$N4,"C")=1,'Prijava ekipa i izvlačenje br.'!$M4,IF(COUNTIF('Prijava ekipa i izvlačenje br.'!$Q4,"C")=1,'Prijava ekipa i izvlačenje br.'!$P4,"")))))</f>
      </c>
      <c r="H5" s="237">
        <f>IF(ISBLANK('Upis rezultata C sektora'!F4)=TRUE,"",'Upis rezultata C sektora'!F4)</f>
      </c>
      <c r="I5" s="238">
        <f>IF(COUNTIF('Prijava ekipa i izvlačenje br.'!$E4,"D")=1,'Prijava ekipa i izvlačenje br.'!$D4,IF(COUNTIF('Prijava ekipa i izvlačenje br.'!$H4,"D")=1,'Prijava ekipa i izvlačenje br.'!$G4,IF(COUNTIF('Prijava ekipa i izvlačenje br.'!$K4,"D")=1,'Prijava ekipa i izvlačenje br.'!$J4,IF(COUNTIF('Prijava ekipa i izvlačenje br.'!$N4,"D")=1,'Prijava ekipa i izvlačenje br.'!$M4,IF(COUNTIF('Prijava ekipa i izvlačenje br.'!$Q4,"D")=1,'Prijava ekipa i izvlačenje br.'!$P4,"")))))</f>
      </c>
      <c r="J5" s="237">
        <f>IF(ISBLANK('Upis rezultata D sektora'!F4)=TRUE,"",'Upis rezultata D sektora'!F4)</f>
      </c>
      <c r="K5" s="238">
        <f>IF(COUNTIF('Prijava ekipa i izvlačenje br.'!$E4,"E")=1,'Prijava ekipa i izvlačenje br.'!$D4,IF(COUNTIF('Prijava ekipa i izvlačenje br.'!$H4,"E")=1,'Prijava ekipa i izvlačenje br.'!$G4,IF(COUNTIF('Prijava ekipa i izvlačenje br.'!$K4,"E")=1,'Prijava ekipa i izvlačenje br.'!$J4,IF(COUNTIF('Prijava ekipa i izvlačenje br.'!$N4,"E")=1,'Prijava ekipa i izvlačenje br.'!$M4,IF(COUNTIF('Prijava ekipa i izvlačenje br.'!$Q4,"E")=1,'Prijava ekipa i izvlačenje br.'!$P4,"")))))</f>
      </c>
      <c r="L5" s="237">
        <f>IF(ISBLANK('Upis rezultata E sektora'!F4)=TRUE,"",'Upis rezultata E sektora'!F4)</f>
      </c>
      <c r="M5" s="244"/>
      <c r="N5" s="245"/>
      <c r="O5" s="90"/>
      <c r="P5" s="90"/>
      <c r="Q5" s="90"/>
      <c r="R5" s="91"/>
      <c r="S5" s="68"/>
      <c r="T5" s="68"/>
    </row>
    <row r="6" spans="1:20" s="72" customFormat="1" ht="84" customHeight="1">
      <c r="A6" s="234">
        <v>4</v>
      </c>
      <c r="B6" s="235">
        <f>IF(ISBLANK('Prijava ekipa i izvlačenje br.'!C5)=TRUE,"",'Prijava ekipa i izvlačenje br.'!C5)</f>
      </c>
      <c r="C6" s="236">
        <f>IF(COUNTIF('Prijava ekipa i izvlačenje br.'!$E5,"A")=1,'Prijava ekipa i izvlačenje br.'!$D5,IF(COUNTIF('Prijava ekipa i izvlačenje br.'!$H5,"A")=1,'Prijava ekipa i izvlačenje br.'!$G5,IF(COUNTIF('Prijava ekipa i izvlačenje br.'!$K5,"A")=1,'Prijava ekipa i izvlačenje br.'!$J5,IF(COUNTIF('Prijava ekipa i izvlačenje br.'!$N5,"A")=1,'Prijava ekipa i izvlačenje br.'!$M5,IF(COUNTIF('Prijava ekipa i izvlačenje br.'!$Q5,"A")=1,'Prijava ekipa i izvlačenje br.'!$P5,"")))))</f>
      </c>
      <c r="D6" s="237">
        <f>IF(ISBLANK('Upis rezultata A sektora'!F5)=TRUE,"",'Upis rezultata A sektora'!F5)</f>
      </c>
      <c r="E6" s="238">
        <f>IF(COUNTIF('Prijava ekipa i izvlačenje br.'!$E5,"B")=1,'Prijava ekipa i izvlačenje br.'!$D5,IF(COUNTIF('Prijava ekipa i izvlačenje br.'!$H5,"B")=1,'Prijava ekipa i izvlačenje br.'!$G5,IF(COUNTIF('Prijava ekipa i izvlačenje br.'!$K5,"B")=1,'Prijava ekipa i izvlačenje br.'!$J5,IF(COUNTIF('Prijava ekipa i izvlačenje br.'!$N5,"B")=1,'Prijava ekipa i izvlačenje br.'!$M5,IF(COUNTIF('Prijava ekipa i izvlačenje br.'!$Q5,"B")=1,'Prijava ekipa i izvlačenje br.'!$P5,"")))))</f>
      </c>
      <c r="F6" s="237">
        <f>IF(ISBLANK('Upis rezultata B sektora'!F5)=TRUE,"",'Upis rezultata B sektora'!F5)</f>
      </c>
      <c r="G6" s="238">
        <f>IF(COUNTIF('Prijava ekipa i izvlačenje br.'!$E5,"C")=1,'Prijava ekipa i izvlačenje br.'!$D5,IF(COUNTIF('Prijava ekipa i izvlačenje br.'!$H5,"C")=1,'Prijava ekipa i izvlačenje br.'!$G5,IF(COUNTIF('Prijava ekipa i izvlačenje br.'!$K5,"C")=1,'Prijava ekipa i izvlačenje br.'!$J5,IF(COUNTIF('Prijava ekipa i izvlačenje br.'!$N5,"C")=1,'Prijava ekipa i izvlačenje br.'!$M5,IF(COUNTIF('Prijava ekipa i izvlačenje br.'!$Q5,"C")=1,'Prijava ekipa i izvlačenje br.'!$P5,"")))))</f>
      </c>
      <c r="H6" s="237">
        <f>IF(ISBLANK('Upis rezultata C sektora'!F5)=TRUE,"",'Upis rezultata C sektora'!F5)</f>
      </c>
      <c r="I6" s="238">
        <f>IF(COUNTIF('Prijava ekipa i izvlačenje br.'!$E5,"D")=1,'Prijava ekipa i izvlačenje br.'!$D5,IF(COUNTIF('Prijava ekipa i izvlačenje br.'!$H5,"D")=1,'Prijava ekipa i izvlačenje br.'!$G5,IF(COUNTIF('Prijava ekipa i izvlačenje br.'!$K5,"D")=1,'Prijava ekipa i izvlačenje br.'!$J5,IF(COUNTIF('Prijava ekipa i izvlačenje br.'!$N5,"D")=1,'Prijava ekipa i izvlačenje br.'!$M5,IF(COUNTIF('Prijava ekipa i izvlačenje br.'!$Q5,"D")=1,'Prijava ekipa i izvlačenje br.'!$P5,"")))))</f>
      </c>
      <c r="J6" s="237">
        <f>IF(ISBLANK('Upis rezultata D sektora'!F5)=TRUE,"",'Upis rezultata D sektora'!F5)</f>
      </c>
      <c r="K6" s="238">
        <f>IF(COUNTIF('Prijava ekipa i izvlačenje br.'!$E5,"E")=1,'Prijava ekipa i izvlačenje br.'!$D5,IF(COUNTIF('Prijava ekipa i izvlačenje br.'!$H5,"E")=1,'Prijava ekipa i izvlačenje br.'!$G5,IF(COUNTIF('Prijava ekipa i izvlačenje br.'!$K5,"E")=1,'Prijava ekipa i izvlačenje br.'!$J5,IF(COUNTIF('Prijava ekipa i izvlačenje br.'!$N5,"E")=1,'Prijava ekipa i izvlačenje br.'!$M5,IF(COUNTIF('Prijava ekipa i izvlačenje br.'!$Q5,"E")=1,'Prijava ekipa i izvlačenje br.'!$P5,"")))))</f>
      </c>
      <c r="L6" s="237">
        <f>IF(ISBLANK('Upis rezultata E sektora'!F5)=TRUE,"",'Upis rezultata E sektora'!F5)</f>
      </c>
      <c r="M6" s="244"/>
      <c r="N6" s="245"/>
      <c r="O6" s="90"/>
      <c r="P6" s="90"/>
      <c r="Q6" s="90"/>
      <c r="R6" s="91"/>
      <c r="S6" s="68"/>
      <c r="T6" s="68"/>
    </row>
    <row r="7" spans="1:20" s="72" customFormat="1" ht="84" customHeight="1">
      <c r="A7" s="234">
        <v>5</v>
      </c>
      <c r="B7" s="235">
        <f>IF(ISBLANK('Prijava ekipa i izvlačenje br.'!C6)=TRUE,"",'Prijava ekipa i izvlačenje br.'!C6)</f>
      </c>
      <c r="C7" s="236">
        <f>IF(COUNTIF('Prijava ekipa i izvlačenje br.'!$E6,"A")=1,'Prijava ekipa i izvlačenje br.'!$D6,IF(COUNTIF('Prijava ekipa i izvlačenje br.'!$H6,"A")=1,'Prijava ekipa i izvlačenje br.'!$G6,IF(COUNTIF('Prijava ekipa i izvlačenje br.'!$K6,"A")=1,'Prijava ekipa i izvlačenje br.'!$J6,IF(COUNTIF('Prijava ekipa i izvlačenje br.'!$N6,"A")=1,'Prijava ekipa i izvlačenje br.'!$M6,IF(COUNTIF('Prijava ekipa i izvlačenje br.'!$Q6,"A")=1,'Prijava ekipa i izvlačenje br.'!$P6,"")))))</f>
      </c>
      <c r="D7" s="237">
        <f>IF(ISBLANK('Upis rezultata A sektora'!F6)=TRUE,"",'Upis rezultata A sektora'!F6)</f>
      </c>
      <c r="E7" s="238">
        <f>IF(COUNTIF('Prijava ekipa i izvlačenje br.'!$E6,"B")=1,'Prijava ekipa i izvlačenje br.'!$D6,IF(COUNTIF('Prijava ekipa i izvlačenje br.'!$H6,"B")=1,'Prijava ekipa i izvlačenje br.'!$G6,IF(COUNTIF('Prijava ekipa i izvlačenje br.'!$K6,"B")=1,'Prijava ekipa i izvlačenje br.'!$J6,IF(COUNTIF('Prijava ekipa i izvlačenje br.'!$N6,"B")=1,'Prijava ekipa i izvlačenje br.'!$M6,IF(COUNTIF('Prijava ekipa i izvlačenje br.'!$Q6,"B")=1,'Prijava ekipa i izvlačenje br.'!$P6,"")))))</f>
      </c>
      <c r="F7" s="237">
        <f>IF(ISBLANK('Upis rezultata B sektora'!F6)=TRUE,"",'Upis rezultata B sektora'!F6)</f>
      </c>
      <c r="G7" s="238">
        <f>IF(COUNTIF('Prijava ekipa i izvlačenje br.'!$E6,"C")=1,'Prijava ekipa i izvlačenje br.'!$D6,IF(COUNTIF('Prijava ekipa i izvlačenje br.'!$H6,"C")=1,'Prijava ekipa i izvlačenje br.'!$G6,IF(COUNTIF('Prijava ekipa i izvlačenje br.'!$K6,"C")=1,'Prijava ekipa i izvlačenje br.'!$J6,IF(COUNTIF('Prijava ekipa i izvlačenje br.'!$N6,"C")=1,'Prijava ekipa i izvlačenje br.'!$M6,IF(COUNTIF('Prijava ekipa i izvlačenje br.'!$Q6,"C")=1,'Prijava ekipa i izvlačenje br.'!$P6,"")))))</f>
      </c>
      <c r="H7" s="237">
        <f>IF(ISBLANK('Upis rezultata C sektora'!F6)=TRUE,"",'Upis rezultata C sektora'!F6)</f>
      </c>
      <c r="I7" s="238">
        <f>IF(COUNTIF('Prijava ekipa i izvlačenje br.'!$E6,"D")=1,'Prijava ekipa i izvlačenje br.'!$D6,IF(COUNTIF('Prijava ekipa i izvlačenje br.'!$H6,"D")=1,'Prijava ekipa i izvlačenje br.'!$G6,IF(COUNTIF('Prijava ekipa i izvlačenje br.'!$K6,"D")=1,'Prijava ekipa i izvlačenje br.'!$J6,IF(COUNTIF('Prijava ekipa i izvlačenje br.'!$N6,"D")=1,'Prijava ekipa i izvlačenje br.'!$M6,IF(COUNTIF('Prijava ekipa i izvlačenje br.'!$Q6,"D")=1,'Prijava ekipa i izvlačenje br.'!$P6,"")))))</f>
      </c>
      <c r="J7" s="237">
        <f>IF(ISBLANK('Upis rezultata D sektora'!F6)=TRUE,"",'Upis rezultata D sektora'!F6)</f>
      </c>
      <c r="K7" s="238">
        <f>IF(COUNTIF('Prijava ekipa i izvlačenje br.'!$E6,"E")=1,'Prijava ekipa i izvlačenje br.'!$D6,IF(COUNTIF('Prijava ekipa i izvlačenje br.'!$H6,"E")=1,'Prijava ekipa i izvlačenje br.'!$G6,IF(COUNTIF('Prijava ekipa i izvlačenje br.'!$K6,"E")=1,'Prijava ekipa i izvlačenje br.'!$J6,IF(COUNTIF('Prijava ekipa i izvlačenje br.'!$N6,"E")=1,'Prijava ekipa i izvlačenje br.'!$M6,IF(COUNTIF('Prijava ekipa i izvlačenje br.'!$Q6,"E")=1,'Prijava ekipa i izvlačenje br.'!$P6,"")))))</f>
      </c>
      <c r="L7" s="237">
        <f>IF(ISBLANK('Upis rezultata E sektora'!F6)=TRUE,"",'Upis rezultata E sektora'!F6)</f>
      </c>
      <c r="M7" s="244"/>
      <c r="N7" s="245"/>
      <c r="O7" s="90"/>
      <c r="P7" s="90"/>
      <c r="Q7" s="90"/>
      <c r="R7" s="91"/>
      <c r="S7" s="68"/>
      <c r="T7" s="68"/>
    </row>
    <row r="8" spans="1:20" s="72" customFormat="1" ht="84" customHeight="1">
      <c r="A8" s="234">
        <v>6</v>
      </c>
      <c r="B8" s="235">
        <f>IF(ISBLANK('Prijava ekipa i izvlačenje br.'!C7)=TRUE,"",'Prijava ekipa i izvlačenje br.'!C7)</f>
      </c>
      <c r="C8" s="236">
        <f>IF(COUNTIF('Prijava ekipa i izvlačenje br.'!$E7,"A")=1,'Prijava ekipa i izvlačenje br.'!$D7,IF(COUNTIF('Prijava ekipa i izvlačenje br.'!$H7,"A")=1,'Prijava ekipa i izvlačenje br.'!$G7,IF(COUNTIF('Prijava ekipa i izvlačenje br.'!$K7,"A")=1,'Prijava ekipa i izvlačenje br.'!$J7,IF(COUNTIF('Prijava ekipa i izvlačenje br.'!$N7,"A")=1,'Prijava ekipa i izvlačenje br.'!$M7,IF(COUNTIF('Prijava ekipa i izvlačenje br.'!$Q7,"A")=1,'Prijava ekipa i izvlačenje br.'!$P7,"")))))</f>
      </c>
      <c r="D8" s="237">
        <f>IF(ISBLANK('Upis rezultata A sektora'!F7)=TRUE,"",'Upis rezultata A sektora'!F7)</f>
      </c>
      <c r="E8" s="238">
        <f>IF(COUNTIF('Prijava ekipa i izvlačenje br.'!$E7,"B")=1,'Prijava ekipa i izvlačenje br.'!$D7,IF(COUNTIF('Prijava ekipa i izvlačenje br.'!$H7,"B")=1,'Prijava ekipa i izvlačenje br.'!$G7,IF(COUNTIF('Prijava ekipa i izvlačenje br.'!$K7,"B")=1,'Prijava ekipa i izvlačenje br.'!$J7,IF(COUNTIF('Prijava ekipa i izvlačenje br.'!$N7,"B")=1,'Prijava ekipa i izvlačenje br.'!$M7,IF(COUNTIF('Prijava ekipa i izvlačenje br.'!$Q7,"B")=1,'Prijava ekipa i izvlačenje br.'!$P7,"")))))</f>
      </c>
      <c r="F8" s="237">
        <f>IF(ISBLANK('Upis rezultata B sektora'!F7)=TRUE,"",'Upis rezultata B sektora'!F7)</f>
      </c>
      <c r="G8" s="238">
        <f>IF(COUNTIF('Prijava ekipa i izvlačenje br.'!$E7,"C")=1,'Prijava ekipa i izvlačenje br.'!$D7,IF(COUNTIF('Prijava ekipa i izvlačenje br.'!$H7,"C")=1,'Prijava ekipa i izvlačenje br.'!$G7,IF(COUNTIF('Prijava ekipa i izvlačenje br.'!$K7,"C")=1,'Prijava ekipa i izvlačenje br.'!$J7,IF(COUNTIF('Prijava ekipa i izvlačenje br.'!$N7,"C")=1,'Prijava ekipa i izvlačenje br.'!$M7,IF(COUNTIF('Prijava ekipa i izvlačenje br.'!$Q7,"C")=1,'Prijava ekipa i izvlačenje br.'!$P7,"")))))</f>
      </c>
      <c r="H8" s="237">
        <f>IF(ISBLANK('Upis rezultata C sektora'!F7)=TRUE,"",'Upis rezultata C sektora'!F7)</f>
      </c>
      <c r="I8" s="238">
        <f>IF(COUNTIF('Prijava ekipa i izvlačenje br.'!$E7,"D")=1,'Prijava ekipa i izvlačenje br.'!$D7,IF(COUNTIF('Prijava ekipa i izvlačenje br.'!$H7,"D")=1,'Prijava ekipa i izvlačenje br.'!$G7,IF(COUNTIF('Prijava ekipa i izvlačenje br.'!$K7,"D")=1,'Prijava ekipa i izvlačenje br.'!$J7,IF(COUNTIF('Prijava ekipa i izvlačenje br.'!$N7,"D")=1,'Prijava ekipa i izvlačenje br.'!$M7,IF(COUNTIF('Prijava ekipa i izvlačenje br.'!$Q7,"D")=1,'Prijava ekipa i izvlačenje br.'!$P7,"")))))</f>
      </c>
      <c r="J8" s="237">
        <f>IF(ISBLANK('Upis rezultata D sektora'!F7)=TRUE,"",'Upis rezultata D sektora'!F7)</f>
      </c>
      <c r="K8" s="238">
        <f>IF(COUNTIF('Prijava ekipa i izvlačenje br.'!$E7,"E")=1,'Prijava ekipa i izvlačenje br.'!$D7,IF(COUNTIF('Prijava ekipa i izvlačenje br.'!$H7,"E")=1,'Prijava ekipa i izvlačenje br.'!$G7,IF(COUNTIF('Prijava ekipa i izvlačenje br.'!$K7,"E")=1,'Prijava ekipa i izvlačenje br.'!$J7,IF(COUNTIF('Prijava ekipa i izvlačenje br.'!$N7,"E")=1,'Prijava ekipa i izvlačenje br.'!$M7,IF(COUNTIF('Prijava ekipa i izvlačenje br.'!$Q7,"E")=1,'Prijava ekipa i izvlačenje br.'!$P7,"")))))</f>
      </c>
      <c r="L8" s="237">
        <f>IF(ISBLANK('Upis rezultata E sektora'!F7)=TRUE,"",'Upis rezultata E sektora'!F7)</f>
      </c>
      <c r="M8" s="244"/>
      <c r="N8" s="245"/>
      <c r="O8" s="90"/>
      <c r="P8" s="90"/>
      <c r="Q8" s="90"/>
      <c r="R8" s="91"/>
      <c r="S8" s="68"/>
      <c r="T8" s="68"/>
    </row>
    <row r="9" spans="1:20" s="72" customFormat="1" ht="84" customHeight="1">
      <c r="A9" s="234">
        <v>7</v>
      </c>
      <c r="B9" s="235">
        <f>IF(ISBLANK('Prijava ekipa i izvlačenje br.'!C8)=TRUE,"",'Prijava ekipa i izvlačenje br.'!C8)</f>
      </c>
      <c r="C9" s="236">
        <f>IF(COUNTIF('Prijava ekipa i izvlačenje br.'!$E8,"A")=1,'Prijava ekipa i izvlačenje br.'!$D8,IF(COUNTIF('Prijava ekipa i izvlačenje br.'!$H8,"A")=1,'Prijava ekipa i izvlačenje br.'!$G8,IF(COUNTIF('Prijava ekipa i izvlačenje br.'!$K8,"A")=1,'Prijava ekipa i izvlačenje br.'!$J8,IF(COUNTIF('Prijava ekipa i izvlačenje br.'!$N8,"A")=1,'Prijava ekipa i izvlačenje br.'!$M8,IF(COUNTIF('Prijava ekipa i izvlačenje br.'!$Q8,"A")=1,'Prijava ekipa i izvlačenje br.'!$P8,"")))))</f>
      </c>
      <c r="D9" s="237">
        <f>IF(ISBLANK('Upis rezultata A sektora'!F8)=TRUE,"",'Upis rezultata A sektora'!F8)</f>
      </c>
      <c r="E9" s="238">
        <f>IF(COUNTIF('Prijava ekipa i izvlačenje br.'!$E8,"B")=1,'Prijava ekipa i izvlačenje br.'!$D8,IF(COUNTIF('Prijava ekipa i izvlačenje br.'!$H8,"B")=1,'Prijava ekipa i izvlačenje br.'!$G8,IF(COUNTIF('Prijava ekipa i izvlačenje br.'!$K8,"B")=1,'Prijava ekipa i izvlačenje br.'!$J8,IF(COUNTIF('Prijava ekipa i izvlačenje br.'!$N8,"B")=1,'Prijava ekipa i izvlačenje br.'!$M8,IF(COUNTIF('Prijava ekipa i izvlačenje br.'!$Q8,"B")=1,'Prijava ekipa i izvlačenje br.'!$P8,"")))))</f>
      </c>
      <c r="F9" s="237">
        <f>IF(ISBLANK('Upis rezultata B sektora'!F8)=TRUE,"",'Upis rezultata B sektora'!F8)</f>
      </c>
      <c r="G9" s="238">
        <f>IF(COUNTIF('Prijava ekipa i izvlačenje br.'!$E8,"C")=1,'Prijava ekipa i izvlačenje br.'!$D8,IF(COUNTIF('Prijava ekipa i izvlačenje br.'!$H8,"C")=1,'Prijava ekipa i izvlačenje br.'!$G8,IF(COUNTIF('Prijava ekipa i izvlačenje br.'!$K8,"C")=1,'Prijava ekipa i izvlačenje br.'!$J8,IF(COUNTIF('Prijava ekipa i izvlačenje br.'!$N8,"C")=1,'Prijava ekipa i izvlačenje br.'!$M8,IF(COUNTIF('Prijava ekipa i izvlačenje br.'!$Q8,"C")=1,'Prijava ekipa i izvlačenje br.'!$P8,"")))))</f>
      </c>
      <c r="H9" s="237">
        <f>IF(ISBLANK('Upis rezultata C sektora'!F8)=TRUE,"",'Upis rezultata C sektora'!F8)</f>
      </c>
      <c r="I9" s="238">
        <f>IF(COUNTIF('Prijava ekipa i izvlačenje br.'!$E8,"D")=1,'Prijava ekipa i izvlačenje br.'!$D8,IF(COUNTIF('Prijava ekipa i izvlačenje br.'!$H8,"D")=1,'Prijava ekipa i izvlačenje br.'!$G8,IF(COUNTIF('Prijava ekipa i izvlačenje br.'!$K8,"D")=1,'Prijava ekipa i izvlačenje br.'!$J8,IF(COUNTIF('Prijava ekipa i izvlačenje br.'!$N8,"D")=1,'Prijava ekipa i izvlačenje br.'!$M8,IF(COUNTIF('Prijava ekipa i izvlačenje br.'!$Q8,"D")=1,'Prijava ekipa i izvlačenje br.'!$P8,"")))))</f>
      </c>
      <c r="J9" s="237">
        <f>IF(ISBLANK('Upis rezultata D sektora'!F8)=TRUE,"",'Upis rezultata D sektora'!F8)</f>
      </c>
      <c r="K9" s="238">
        <f>IF(COUNTIF('Prijava ekipa i izvlačenje br.'!$E8,"E")=1,'Prijava ekipa i izvlačenje br.'!$D8,IF(COUNTIF('Prijava ekipa i izvlačenje br.'!$H8,"E")=1,'Prijava ekipa i izvlačenje br.'!$G8,IF(COUNTIF('Prijava ekipa i izvlačenje br.'!$K8,"E")=1,'Prijava ekipa i izvlačenje br.'!$J8,IF(COUNTIF('Prijava ekipa i izvlačenje br.'!$N8,"E")=1,'Prijava ekipa i izvlačenje br.'!$M8,IF(COUNTIF('Prijava ekipa i izvlačenje br.'!$Q8,"E")=1,'Prijava ekipa i izvlačenje br.'!$P8,"")))))</f>
      </c>
      <c r="L9" s="237">
        <f>IF(ISBLANK('Upis rezultata E sektora'!F8)=TRUE,"",'Upis rezultata E sektora'!F8)</f>
      </c>
      <c r="M9" s="244"/>
      <c r="N9" s="245"/>
      <c r="O9" s="90"/>
      <c r="P9" s="90"/>
      <c r="Q9" s="90"/>
      <c r="R9" s="91"/>
      <c r="S9" s="68"/>
      <c r="T9" s="68"/>
    </row>
    <row r="10" spans="1:20" s="72" customFormat="1" ht="84" customHeight="1">
      <c r="A10" s="234">
        <v>8</v>
      </c>
      <c r="B10" s="235">
        <f>IF(ISBLANK('Prijava ekipa i izvlačenje br.'!C9)=TRUE,"",'Prijava ekipa i izvlačenje br.'!C9)</f>
      </c>
      <c r="C10" s="236">
        <f>IF(COUNTIF('Prijava ekipa i izvlačenje br.'!$E9,"A")=1,'Prijava ekipa i izvlačenje br.'!$D9,IF(COUNTIF('Prijava ekipa i izvlačenje br.'!$H9,"A")=1,'Prijava ekipa i izvlačenje br.'!$G9,IF(COUNTIF('Prijava ekipa i izvlačenje br.'!$K9,"A")=1,'Prijava ekipa i izvlačenje br.'!$J9,IF(COUNTIF('Prijava ekipa i izvlačenje br.'!$N9,"A")=1,'Prijava ekipa i izvlačenje br.'!$M9,IF(COUNTIF('Prijava ekipa i izvlačenje br.'!$Q9,"A")=1,'Prijava ekipa i izvlačenje br.'!$P9,"")))))</f>
      </c>
      <c r="D10" s="237">
        <f>IF(ISBLANK('Upis rezultata A sektora'!F9)=TRUE,"",'Upis rezultata A sektora'!F9)</f>
      </c>
      <c r="E10" s="238">
        <f>IF(COUNTIF('Prijava ekipa i izvlačenje br.'!$E9,"B")=1,'Prijava ekipa i izvlačenje br.'!$D9,IF(COUNTIF('Prijava ekipa i izvlačenje br.'!$H9,"B")=1,'Prijava ekipa i izvlačenje br.'!$G9,IF(COUNTIF('Prijava ekipa i izvlačenje br.'!$K9,"B")=1,'Prijava ekipa i izvlačenje br.'!$J9,IF(COUNTIF('Prijava ekipa i izvlačenje br.'!$N9,"B")=1,'Prijava ekipa i izvlačenje br.'!$M9,IF(COUNTIF('Prijava ekipa i izvlačenje br.'!$Q9,"B")=1,'Prijava ekipa i izvlačenje br.'!$P9,"")))))</f>
      </c>
      <c r="F10" s="237">
        <f>IF(ISBLANK('Upis rezultata B sektora'!F9)=TRUE,"",'Upis rezultata B sektora'!F9)</f>
      </c>
      <c r="G10" s="238">
        <f>IF(COUNTIF('Prijava ekipa i izvlačenje br.'!$E9,"C")=1,'Prijava ekipa i izvlačenje br.'!$D9,IF(COUNTIF('Prijava ekipa i izvlačenje br.'!$H9,"C")=1,'Prijava ekipa i izvlačenje br.'!$G9,IF(COUNTIF('Prijava ekipa i izvlačenje br.'!$K9,"C")=1,'Prijava ekipa i izvlačenje br.'!$J9,IF(COUNTIF('Prijava ekipa i izvlačenje br.'!$N9,"C")=1,'Prijava ekipa i izvlačenje br.'!$M9,IF(COUNTIF('Prijava ekipa i izvlačenje br.'!$Q9,"C")=1,'Prijava ekipa i izvlačenje br.'!$P9,"")))))</f>
      </c>
      <c r="H10" s="237">
        <f>IF(ISBLANK('Upis rezultata C sektora'!F9)=TRUE,"",'Upis rezultata C sektora'!F9)</f>
      </c>
      <c r="I10" s="238">
        <f>IF(COUNTIF('Prijava ekipa i izvlačenje br.'!$E9,"D")=1,'Prijava ekipa i izvlačenje br.'!$D9,IF(COUNTIF('Prijava ekipa i izvlačenje br.'!$H9,"D")=1,'Prijava ekipa i izvlačenje br.'!$G9,IF(COUNTIF('Prijava ekipa i izvlačenje br.'!$K9,"D")=1,'Prijava ekipa i izvlačenje br.'!$J9,IF(COUNTIF('Prijava ekipa i izvlačenje br.'!$N9,"D")=1,'Prijava ekipa i izvlačenje br.'!$M9,IF(COUNTIF('Prijava ekipa i izvlačenje br.'!$Q9,"D")=1,'Prijava ekipa i izvlačenje br.'!$P9,"")))))</f>
      </c>
      <c r="J10" s="237">
        <f>IF(ISBLANK('Upis rezultata D sektora'!F9)=TRUE,"",'Upis rezultata D sektora'!F9)</f>
      </c>
      <c r="K10" s="238">
        <f>IF(COUNTIF('Prijava ekipa i izvlačenje br.'!$E9,"E")=1,'Prijava ekipa i izvlačenje br.'!$D9,IF(COUNTIF('Prijava ekipa i izvlačenje br.'!$H9,"E")=1,'Prijava ekipa i izvlačenje br.'!$G9,IF(COUNTIF('Prijava ekipa i izvlačenje br.'!$K9,"E")=1,'Prijava ekipa i izvlačenje br.'!$J9,IF(COUNTIF('Prijava ekipa i izvlačenje br.'!$N9,"E")=1,'Prijava ekipa i izvlačenje br.'!$M9,IF(COUNTIF('Prijava ekipa i izvlačenje br.'!$Q9,"E")=1,'Prijava ekipa i izvlačenje br.'!$P9,"")))))</f>
      </c>
      <c r="L10" s="237">
        <f>IF(ISBLANK('Upis rezultata E sektora'!F9)=TRUE,"",'Upis rezultata E sektora'!F9)</f>
      </c>
      <c r="M10" s="244"/>
      <c r="N10" s="245"/>
      <c r="O10" s="90"/>
      <c r="P10" s="90"/>
      <c r="Q10" s="90"/>
      <c r="R10" s="91"/>
      <c r="S10" s="68"/>
      <c r="T10" s="68"/>
    </row>
    <row r="11" spans="1:20" s="72" customFormat="1" ht="84" customHeight="1">
      <c r="A11" s="234">
        <v>9</v>
      </c>
      <c r="B11" s="235">
        <f>IF(ISBLANK('Prijava ekipa i izvlačenje br.'!C10)=TRUE,"",'Prijava ekipa i izvlačenje br.'!C10)</f>
      </c>
      <c r="C11" s="236">
        <f>IF(COUNTIF('Prijava ekipa i izvlačenje br.'!$E10,"A")=1,'Prijava ekipa i izvlačenje br.'!$D10,IF(COUNTIF('Prijava ekipa i izvlačenje br.'!$H10,"A")=1,'Prijava ekipa i izvlačenje br.'!$G10,IF(COUNTIF('Prijava ekipa i izvlačenje br.'!$K10,"A")=1,'Prijava ekipa i izvlačenje br.'!$J10,IF(COUNTIF('Prijava ekipa i izvlačenje br.'!$N10,"A")=1,'Prijava ekipa i izvlačenje br.'!$M10,IF(COUNTIF('Prijava ekipa i izvlačenje br.'!$Q10,"A")=1,'Prijava ekipa i izvlačenje br.'!$P10,"")))))</f>
      </c>
      <c r="D11" s="237">
        <f>IF(ISBLANK('Upis rezultata A sektora'!F10)=TRUE,"",'Upis rezultata A sektora'!F10)</f>
      </c>
      <c r="E11" s="238">
        <f>IF(COUNTIF('Prijava ekipa i izvlačenje br.'!$E10,"B")=1,'Prijava ekipa i izvlačenje br.'!$D10,IF(COUNTIF('Prijava ekipa i izvlačenje br.'!$H10,"B")=1,'Prijava ekipa i izvlačenje br.'!$G10,IF(COUNTIF('Prijava ekipa i izvlačenje br.'!$K10,"B")=1,'Prijava ekipa i izvlačenje br.'!$J10,IF(COUNTIF('Prijava ekipa i izvlačenje br.'!$N10,"B")=1,'Prijava ekipa i izvlačenje br.'!$M10,IF(COUNTIF('Prijava ekipa i izvlačenje br.'!$Q10,"B")=1,'Prijava ekipa i izvlačenje br.'!$P10,"")))))</f>
      </c>
      <c r="F11" s="237">
        <f>IF(ISBLANK('Upis rezultata B sektora'!F10)=TRUE,"",'Upis rezultata B sektora'!F10)</f>
      </c>
      <c r="G11" s="238">
        <f>IF(COUNTIF('Prijava ekipa i izvlačenje br.'!$E10,"C")=1,'Prijava ekipa i izvlačenje br.'!$D10,IF(COUNTIF('Prijava ekipa i izvlačenje br.'!$H10,"C")=1,'Prijava ekipa i izvlačenje br.'!$G10,IF(COUNTIF('Prijava ekipa i izvlačenje br.'!$K10,"C")=1,'Prijava ekipa i izvlačenje br.'!$J10,IF(COUNTIF('Prijava ekipa i izvlačenje br.'!$N10,"C")=1,'Prijava ekipa i izvlačenje br.'!$M10,IF(COUNTIF('Prijava ekipa i izvlačenje br.'!$Q10,"C")=1,'Prijava ekipa i izvlačenje br.'!$P10,"")))))</f>
      </c>
      <c r="H11" s="237">
        <f>IF(ISBLANK('Upis rezultata C sektora'!F10)=TRUE,"",'Upis rezultata C sektora'!F10)</f>
      </c>
      <c r="I11" s="238">
        <f>IF(COUNTIF('Prijava ekipa i izvlačenje br.'!$E10,"D")=1,'Prijava ekipa i izvlačenje br.'!$D10,IF(COUNTIF('Prijava ekipa i izvlačenje br.'!$H10,"D")=1,'Prijava ekipa i izvlačenje br.'!$G10,IF(COUNTIF('Prijava ekipa i izvlačenje br.'!$K10,"D")=1,'Prijava ekipa i izvlačenje br.'!$J10,IF(COUNTIF('Prijava ekipa i izvlačenje br.'!$N10,"D")=1,'Prijava ekipa i izvlačenje br.'!$M10,IF(COUNTIF('Prijava ekipa i izvlačenje br.'!$Q10,"D")=1,'Prijava ekipa i izvlačenje br.'!$P10,"")))))</f>
      </c>
      <c r="J11" s="237">
        <f>IF(ISBLANK('Upis rezultata D sektora'!F10)=TRUE,"",'Upis rezultata D sektora'!F10)</f>
      </c>
      <c r="K11" s="238">
        <f>IF(COUNTIF('Prijava ekipa i izvlačenje br.'!$E10,"E")=1,'Prijava ekipa i izvlačenje br.'!$D10,IF(COUNTIF('Prijava ekipa i izvlačenje br.'!$H10,"E")=1,'Prijava ekipa i izvlačenje br.'!$G10,IF(COUNTIF('Prijava ekipa i izvlačenje br.'!$K10,"E")=1,'Prijava ekipa i izvlačenje br.'!$J10,IF(COUNTIF('Prijava ekipa i izvlačenje br.'!$N10,"E")=1,'Prijava ekipa i izvlačenje br.'!$M10,IF(COUNTIF('Prijava ekipa i izvlačenje br.'!$Q10,"E")=1,'Prijava ekipa i izvlačenje br.'!$P10,"")))))</f>
      </c>
      <c r="L11" s="237">
        <f>IF(ISBLANK('Upis rezultata E sektora'!F10)=TRUE,"",'Upis rezultata E sektora'!F10)</f>
      </c>
      <c r="M11" s="244"/>
      <c r="N11" s="245"/>
      <c r="O11" s="90"/>
      <c r="P11" s="90"/>
      <c r="Q11" s="90"/>
      <c r="R11" s="91"/>
      <c r="S11" s="68"/>
      <c r="T11" s="68"/>
    </row>
    <row r="12" spans="1:20" s="72" customFormat="1" ht="84" customHeight="1">
      <c r="A12" s="234">
        <v>10</v>
      </c>
      <c r="B12" s="235">
        <f>IF(ISBLANK('Prijava ekipa i izvlačenje br.'!C11)=TRUE,"",'Prijava ekipa i izvlačenje br.'!C11)</f>
      </c>
      <c r="C12" s="236">
        <f>IF(COUNTIF('Prijava ekipa i izvlačenje br.'!$E11,"A")=1,'Prijava ekipa i izvlačenje br.'!$D11,IF(COUNTIF('Prijava ekipa i izvlačenje br.'!$H11,"A")=1,'Prijava ekipa i izvlačenje br.'!$G11,IF(COUNTIF('Prijava ekipa i izvlačenje br.'!$K11,"A")=1,'Prijava ekipa i izvlačenje br.'!$J11,IF(COUNTIF('Prijava ekipa i izvlačenje br.'!$N11,"A")=1,'Prijava ekipa i izvlačenje br.'!$M11,IF(COUNTIF('Prijava ekipa i izvlačenje br.'!$Q11,"A")=1,'Prijava ekipa i izvlačenje br.'!$P11,"")))))</f>
      </c>
      <c r="D12" s="237">
        <f>IF(ISBLANK('Upis rezultata A sektora'!F11)=TRUE,"",'Upis rezultata A sektora'!F11)</f>
      </c>
      <c r="E12" s="238">
        <f>IF(COUNTIF('Prijava ekipa i izvlačenje br.'!$E11,"B")=1,'Prijava ekipa i izvlačenje br.'!$D11,IF(COUNTIF('Prijava ekipa i izvlačenje br.'!$H11,"B")=1,'Prijava ekipa i izvlačenje br.'!$G11,IF(COUNTIF('Prijava ekipa i izvlačenje br.'!$K11,"B")=1,'Prijava ekipa i izvlačenje br.'!$J11,IF(COUNTIF('Prijava ekipa i izvlačenje br.'!$N11,"B")=1,'Prijava ekipa i izvlačenje br.'!$M11,IF(COUNTIF('Prijava ekipa i izvlačenje br.'!$Q11,"B")=1,'Prijava ekipa i izvlačenje br.'!$P11,"")))))</f>
      </c>
      <c r="F12" s="237">
        <f>IF(ISBLANK('Upis rezultata B sektora'!F11)=TRUE,"",'Upis rezultata B sektora'!F11)</f>
      </c>
      <c r="G12" s="238">
        <f>IF(COUNTIF('Prijava ekipa i izvlačenje br.'!$E11,"C")=1,'Prijava ekipa i izvlačenje br.'!$D11,IF(COUNTIF('Prijava ekipa i izvlačenje br.'!$H11,"C")=1,'Prijava ekipa i izvlačenje br.'!$G11,IF(COUNTIF('Prijava ekipa i izvlačenje br.'!$K11,"C")=1,'Prijava ekipa i izvlačenje br.'!$J11,IF(COUNTIF('Prijava ekipa i izvlačenje br.'!$N11,"C")=1,'Prijava ekipa i izvlačenje br.'!$M11,IF(COUNTIF('Prijava ekipa i izvlačenje br.'!$Q11,"C")=1,'Prijava ekipa i izvlačenje br.'!$P11,"")))))</f>
      </c>
      <c r="H12" s="237">
        <f>IF(ISBLANK('Upis rezultata C sektora'!F11)=TRUE,"",'Upis rezultata C sektora'!F11)</f>
      </c>
      <c r="I12" s="238">
        <f>IF(COUNTIF('Prijava ekipa i izvlačenje br.'!$E11,"D")=1,'Prijava ekipa i izvlačenje br.'!$D11,IF(COUNTIF('Prijava ekipa i izvlačenje br.'!$H11,"D")=1,'Prijava ekipa i izvlačenje br.'!$G11,IF(COUNTIF('Prijava ekipa i izvlačenje br.'!$K11,"D")=1,'Prijava ekipa i izvlačenje br.'!$J11,IF(COUNTIF('Prijava ekipa i izvlačenje br.'!$N11,"D")=1,'Prijava ekipa i izvlačenje br.'!$M11,IF(COUNTIF('Prijava ekipa i izvlačenje br.'!$Q11,"D")=1,'Prijava ekipa i izvlačenje br.'!$P11,"")))))</f>
      </c>
      <c r="J12" s="237">
        <f>IF(ISBLANK('Upis rezultata D sektora'!F11)=TRUE,"",'Upis rezultata D sektora'!F11)</f>
      </c>
      <c r="K12" s="238">
        <f>IF(COUNTIF('Prijava ekipa i izvlačenje br.'!$E11,"E")=1,'Prijava ekipa i izvlačenje br.'!$D11,IF(COUNTIF('Prijava ekipa i izvlačenje br.'!$H11,"E")=1,'Prijava ekipa i izvlačenje br.'!$G11,IF(COUNTIF('Prijava ekipa i izvlačenje br.'!$K11,"E")=1,'Prijava ekipa i izvlačenje br.'!$J11,IF(COUNTIF('Prijava ekipa i izvlačenje br.'!$N11,"E")=1,'Prijava ekipa i izvlačenje br.'!$M11,IF(COUNTIF('Prijava ekipa i izvlačenje br.'!$Q11,"E")=1,'Prijava ekipa i izvlačenje br.'!$P11,"")))))</f>
      </c>
      <c r="L12" s="237">
        <f>IF(ISBLANK('Upis rezultata E sektora'!F11)=TRUE,"",'Upis rezultata E sektora'!F11)</f>
      </c>
      <c r="M12" s="244"/>
      <c r="N12" s="245"/>
      <c r="O12" s="90"/>
      <c r="P12" s="90"/>
      <c r="Q12" s="90"/>
      <c r="R12" s="91"/>
      <c r="S12" s="68"/>
      <c r="T12" s="68"/>
    </row>
    <row r="13" spans="1:20" s="72" customFormat="1" ht="84" customHeight="1">
      <c r="A13" s="234">
        <v>11</v>
      </c>
      <c r="B13" s="235">
        <f>IF(ISBLANK('Prijava ekipa i izvlačenje br.'!C12)=TRUE,"",'Prijava ekipa i izvlačenje br.'!C12)</f>
      </c>
      <c r="C13" s="236">
        <f>IF(COUNTIF('Prijava ekipa i izvlačenje br.'!$E12,"A")=1,'Prijava ekipa i izvlačenje br.'!$D12,IF(COUNTIF('Prijava ekipa i izvlačenje br.'!$H12,"A")=1,'Prijava ekipa i izvlačenje br.'!$G12,IF(COUNTIF('Prijava ekipa i izvlačenje br.'!$K12,"A")=1,'Prijava ekipa i izvlačenje br.'!$J12,IF(COUNTIF('Prijava ekipa i izvlačenje br.'!$N12,"A")=1,'Prijava ekipa i izvlačenje br.'!$M12,IF(COUNTIF('Prijava ekipa i izvlačenje br.'!$Q12,"A")=1,'Prijava ekipa i izvlačenje br.'!$P12,"")))))</f>
      </c>
      <c r="D13" s="237">
        <f>IF(ISBLANK('Upis rezultata A sektora'!F12)=TRUE,"",'Upis rezultata A sektora'!F12)</f>
      </c>
      <c r="E13" s="238">
        <f>IF(COUNTIF('Prijava ekipa i izvlačenje br.'!$E12,"B")=1,'Prijava ekipa i izvlačenje br.'!$D12,IF(COUNTIF('Prijava ekipa i izvlačenje br.'!$H12,"B")=1,'Prijava ekipa i izvlačenje br.'!$G12,IF(COUNTIF('Prijava ekipa i izvlačenje br.'!$K12,"B")=1,'Prijava ekipa i izvlačenje br.'!$J12,IF(COUNTIF('Prijava ekipa i izvlačenje br.'!$N12,"B")=1,'Prijava ekipa i izvlačenje br.'!$M12,IF(COUNTIF('Prijava ekipa i izvlačenje br.'!$Q12,"B")=1,'Prijava ekipa i izvlačenje br.'!$P12,"")))))</f>
      </c>
      <c r="F13" s="237">
        <f>IF(ISBLANK('Upis rezultata B sektora'!F12)=TRUE,"",'Upis rezultata B sektora'!F12)</f>
      </c>
      <c r="G13" s="238">
        <f>IF(COUNTIF('Prijava ekipa i izvlačenje br.'!$E12,"C")=1,'Prijava ekipa i izvlačenje br.'!$D12,IF(COUNTIF('Prijava ekipa i izvlačenje br.'!$H12,"C")=1,'Prijava ekipa i izvlačenje br.'!$G12,IF(COUNTIF('Prijava ekipa i izvlačenje br.'!$K12,"C")=1,'Prijava ekipa i izvlačenje br.'!$J12,IF(COUNTIF('Prijava ekipa i izvlačenje br.'!$N12,"C")=1,'Prijava ekipa i izvlačenje br.'!$M12,IF(COUNTIF('Prijava ekipa i izvlačenje br.'!$Q12,"C")=1,'Prijava ekipa i izvlačenje br.'!$P12,"")))))</f>
      </c>
      <c r="H13" s="237">
        <f>IF(ISBLANK('Upis rezultata C sektora'!F12)=TRUE,"",'Upis rezultata C sektora'!F12)</f>
      </c>
      <c r="I13" s="238">
        <f>IF(COUNTIF('Prijava ekipa i izvlačenje br.'!$E12,"D")=1,'Prijava ekipa i izvlačenje br.'!$D12,IF(COUNTIF('Prijava ekipa i izvlačenje br.'!$H12,"D")=1,'Prijava ekipa i izvlačenje br.'!$G12,IF(COUNTIF('Prijava ekipa i izvlačenje br.'!$K12,"D")=1,'Prijava ekipa i izvlačenje br.'!$J12,IF(COUNTIF('Prijava ekipa i izvlačenje br.'!$N12,"D")=1,'Prijava ekipa i izvlačenje br.'!$M12,IF(COUNTIF('Prijava ekipa i izvlačenje br.'!$Q12,"D")=1,'Prijava ekipa i izvlačenje br.'!$P12,"")))))</f>
      </c>
      <c r="J13" s="237">
        <f>IF(ISBLANK('Upis rezultata D sektora'!F12)=TRUE,"",'Upis rezultata D sektora'!F12)</f>
      </c>
      <c r="K13" s="238">
        <f>IF(COUNTIF('Prijava ekipa i izvlačenje br.'!$E12,"E")=1,'Prijava ekipa i izvlačenje br.'!$D12,IF(COUNTIF('Prijava ekipa i izvlačenje br.'!$H12,"E")=1,'Prijava ekipa i izvlačenje br.'!$G12,IF(COUNTIF('Prijava ekipa i izvlačenje br.'!$K12,"E")=1,'Prijava ekipa i izvlačenje br.'!$J12,IF(COUNTIF('Prijava ekipa i izvlačenje br.'!$N12,"E")=1,'Prijava ekipa i izvlačenje br.'!$M12,IF(COUNTIF('Prijava ekipa i izvlačenje br.'!$Q12,"E")=1,'Prijava ekipa i izvlačenje br.'!$P12,"")))))</f>
      </c>
      <c r="L13" s="237">
        <f>IF(ISBLANK('Upis rezultata E sektora'!F12)=TRUE,"",'Upis rezultata E sektora'!F12)</f>
      </c>
      <c r="M13" s="244"/>
      <c r="N13" s="245"/>
      <c r="O13" s="90"/>
      <c r="P13" s="90"/>
      <c r="Q13" s="90"/>
      <c r="R13" s="91"/>
      <c r="S13" s="68"/>
      <c r="T13" s="68"/>
    </row>
    <row r="14" spans="1:20" s="72" customFormat="1" ht="84" customHeight="1">
      <c r="A14" s="234">
        <v>12</v>
      </c>
      <c r="B14" s="235">
        <f>IF(ISBLANK('Prijava ekipa i izvlačenje br.'!C13)=TRUE,"",'Prijava ekipa i izvlačenje br.'!C13)</f>
      </c>
      <c r="C14" s="236">
        <f>IF(COUNTIF('Prijava ekipa i izvlačenje br.'!$E13,"A")=1,'Prijava ekipa i izvlačenje br.'!$D13,IF(COUNTIF('Prijava ekipa i izvlačenje br.'!$H13,"A")=1,'Prijava ekipa i izvlačenje br.'!$G13,IF(COUNTIF('Prijava ekipa i izvlačenje br.'!$K13,"A")=1,'Prijava ekipa i izvlačenje br.'!$J13,IF(COUNTIF('Prijava ekipa i izvlačenje br.'!$N13,"A")=1,'Prijava ekipa i izvlačenje br.'!$M13,IF(COUNTIF('Prijava ekipa i izvlačenje br.'!$Q13,"A")=1,'Prijava ekipa i izvlačenje br.'!$P13,"")))))</f>
      </c>
      <c r="D14" s="237">
        <f>IF(ISBLANK('Upis rezultata A sektora'!F13)=TRUE,"",'Upis rezultata A sektora'!F13)</f>
      </c>
      <c r="E14" s="238">
        <f>IF(COUNTIF('Prijava ekipa i izvlačenje br.'!$E13,"B")=1,'Prijava ekipa i izvlačenje br.'!$D13,IF(COUNTIF('Prijava ekipa i izvlačenje br.'!$H13,"B")=1,'Prijava ekipa i izvlačenje br.'!$G13,IF(COUNTIF('Prijava ekipa i izvlačenje br.'!$K13,"B")=1,'Prijava ekipa i izvlačenje br.'!$J13,IF(COUNTIF('Prijava ekipa i izvlačenje br.'!$N13,"B")=1,'Prijava ekipa i izvlačenje br.'!$M13,IF(COUNTIF('Prijava ekipa i izvlačenje br.'!$Q13,"B")=1,'Prijava ekipa i izvlačenje br.'!$P13,"")))))</f>
      </c>
      <c r="F14" s="237">
        <f>IF(ISBLANK('Upis rezultata B sektora'!F13)=TRUE,"",'Upis rezultata B sektora'!F13)</f>
      </c>
      <c r="G14" s="238">
        <f>IF(COUNTIF('Prijava ekipa i izvlačenje br.'!$E13,"C")=1,'Prijava ekipa i izvlačenje br.'!$D13,IF(COUNTIF('Prijava ekipa i izvlačenje br.'!$H13,"C")=1,'Prijava ekipa i izvlačenje br.'!$G13,IF(COUNTIF('Prijava ekipa i izvlačenje br.'!$K13,"C")=1,'Prijava ekipa i izvlačenje br.'!$J13,IF(COUNTIF('Prijava ekipa i izvlačenje br.'!$N13,"C")=1,'Prijava ekipa i izvlačenje br.'!$M13,IF(COUNTIF('Prijava ekipa i izvlačenje br.'!$Q13,"C")=1,'Prijava ekipa i izvlačenje br.'!$P13,"")))))</f>
      </c>
      <c r="H14" s="237">
        <f>IF(ISBLANK('Upis rezultata C sektora'!F13)=TRUE,"",'Upis rezultata C sektora'!F13)</f>
      </c>
      <c r="I14" s="238">
        <f>IF(COUNTIF('Prijava ekipa i izvlačenje br.'!$E13,"D")=1,'Prijava ekipa i izvlačenje br.'!$D13,IF(COUNTIF('Prijava ekipa i izvlačenje br.'!$H13,"D")=1,'Prijava ekipa i izvlačenje br.'!$G13,IF(COUNTIF('Prijava ekipa i izvlačenje br.'!$K13,"D")=1,'Prijava ekipa i izvlačenje br.'!$J13,IF(COUNTIF('Prijava ekipa i izvlačenje br.'!$N13,"D")=1,'Prijava ekipa i izvlačenje br.'!$M13,IF(COUNTIF('Prijava ekipa i izvlačenje br.'!$Q13,"D")=1,'Prijava ekipa i izvlačenje br.'!$P13,"")))))</f>
      </c>
      <c r="J14" s="237">
        <f>IF(ISBLANK('Upis rezultata D sektora'!F13)=TRUE,"",'Upis rezultata D sektora'!F13)</f>
      </c>
      <c r="K14" s="238">
        <f>IF(COUNTIF('Prijava ekipa i izvlačenje br.'!$E13,"E")=1,'Prijava ekipa i izvlačenje br.'!$D13,IF(COUNTIF('Prijava ekipa i izvlačenje br.'!$H13,"E")=1,'Prijava ekipa i izvlačenje br.'!$G13,IF(COUNTIF('Prijava ekipa i izvlačenje br.'!$K13,"E")=1,'Prijava ekipa i izvlačenje br.'!$J13,IF(COUNTIF('Prijava ekipa i izvlačenje br.'!$N13,"E")=1,'Prijava ekipa i izvlačenje br.'!$M13,IF(COUNTIF('Prijava ekipa i izvlačenje br.'!$Q13,"E")=1,'Prijava ekipa i izvlačenje br.'!$P13,"")))))</f>
      </c>
      <c r="L14" s="237">
        <f>IF(ISBLANK('Upis rezultata E sektora'!F13)=TRUE,"",'Upis rezultata E sektora'!F13)</f>
      </c>
      <c r="M14" s="246"/>
      <c r="N14" s="247"/>
      <c r="O14" s="248"/>
      <c r="P14" s="248"/>
      <c r="Q14" s="248"/>
      <c r="R14" s="249"/>
      <c r="S14" s="68"/>
      <c r="T14" s="68"/>
    </row>
  </sheetData>
  <sheetProtection password="C7E2" sheet="1" objects="1" scenarios="1"/>
  <mergeCells count="5">
    <mergeCell ref="K2:L2"/>
    <mergeCell ref="C2:D2"/>
    <mergeCell ref="E2:F2"/>
    <mergeCell ref="G2:H2"/>
    <mergeCell ref="I2:J2"/>
  </mergeCells>
  <printOptions horizontalCentered="1"/>
  <pageMargins left="0.71" right="0.5118110236220472" top="0.5118110236220472" bottom="0.2755905511811024" header="0.2362204724409449" footer="0.3937007874015748"/>
  <pageSetup horizontalDpi="300" verticalDpi="300" orientation="landscape" paperSize="9" scale="50" r:id="rId2"/>
  <headerFooter alignWithMargins="0">
    <oddHeader>&amp;C&amp;"Arial,Podebljano"&amp;20DIJAGRAM TEŽINE</oddHeader>
    <oddFooter>&amp;C&amp;"Arial,Kurziv"&amp;16&amp;YProgram za izračun rezultata i provođenje natjecanja&amp;R&amp;18&amp;D  &amp;T h</oddFooter>
  </headerFooter>
  <drawing r:id="rId1"/>
</worksheet>
</file>

<file path=xl/worksheets/sheet27.xml><?xml version="1.0" encoding="utf-8"?>
<worksheet xmlns="http://schemas.openxmlformats.org/spreadsheetml/2006/main" xmlns:r="http://schemas.openxmlformats.org/officeDocument/2006/relationships">
  <sheetPr codeName="Sheet4">
    <tabColor indexed="11"/>
  </sheetPr>
  <dimension ref="B1:L49"/>
  <sheetViews>
    <sheetView showGridLines="0" showRowColHeaders="0" zoomScalePageLayoutView="0" workbookViewId="0" topLeftCell="A1">
      <selection activeCell="L18" sqref="L18"/>
    </sheetView>
  </sheetViews>
  <sheetFormatPr defaultColWidth="9.140625" defaultRowHeight="12.75"/>
  <cols>
    <col min="1" max="1" width="9.140625" style="202" customWidth="1"/>
    <col min="2" max="2" width="10.00390625" style="202" customWidth="1"/>
    <col min="3" max="16384" width="9.140625" style="202" customWidth="1"/>
  </cols>
  <sheetData>
    <row r="1" spans="2:10" ht="12.75">
      <c r="B1" s="199"/>
      <c r="C1" s="199"/>
      <c r="D1" s="199"/>
      <c r="E1" s="200"/>
      <c r="F1" s="201" t="s">
        <v>150</v>
      </c>
      <c r="G1" s="199"/>
      <c r="H1" s="199"/>
      <c r="I1" s="199"/>
      <c r="J1" s="199"/>
    </row>
    <row r="2" spans="2:10" ht="12.75">
      <c r="B2" s="203" t="s">
        <v>151</v>
      </c>
      <c r="D2" s="201"/>
      <c r="E2" s="200"/>
      <c r="F2" s="199"/>
      <c r="G2" s="199"/>
      <c r="H2" s="199"/>
      <c r="I2" s="199"/>
      <c r="J2" s="199"/>
    </row>
    <row r="3" spans="2:10" ht="12.75">
      <c r="B3" s="203" t="s">
        <v>152</v>
      </c>
      <c r="C3" s="199"/>
      <c r="D3" s="199"/>
      <c r="E3" s="200"/>
      <c r="F3" s="199"/>
      <c r="G3" s="199"/>
      <c r="H3" s="363"/>
      <c r="I3" s="364"/>
      <c r="J3" s="363"/>
    </row>
    <row r="4" spans="2:10" ht="12.75">
      <c r="B4" s="199"/>
      <c r="C4" s="199"/>
      <c r="D4" s="199"/>
      <c r="E4" s="200"/>
      <c r="F4" s="199"/>
      <c r="G4" s="199"/>
      <c r="H4" s="199"/>
      <c r="I4" s="204" t="s">
        <v>48</v>
      </c>
      <c r="J4" s="199"/>
    </row>
    <row r="5" spans="2:10" ht="12.75">
      <c r="B5" s="199"/>
      <c r="C5" s="199"/>
      <c r="D5" s="199"/>
      <c r="E5" s="200"/>
      <c r="F5" s="199"/>
      <c r="G5" s="199"/>
      <c r="H5" s="199"/>
      <c r="I5" s="205"/>
      <c r="J5" s="199"/>
    </row>
    <row r="6" spans="2:10" s="208" customFormat="1" ht="18">
      <c r="B6" s="206"/>
      <c r="C6" s="206"/>
      <c r="D6" s="206"/>
      <c r="E6" s="207"/>
      <c r="G6" s="209" t="s">
        <v>49</v>
      </c>
      <c r="I6" s="206"/>
      <c r="J6" s="206"/>
    </row>
    <row r="7" spans="2:10" ht="12.75">
      <c r="B7" s="199"/>
      <c r="C7" s="199"/>
      <c r="D7" s="199"/>
      <c r="E7" s="200"/>
      <c r="G7" s="199"/>
      <c r="H7" s="199"/>
      <c r="I7" s="199"/>
      <c r="J7" s="199"/>
    </row>
    <row r="8" spans="2:10" ht="18">
      <c r="B8" s="199"/>
      <c r="E8" s="199" t="s">
        <v>50</v>
      </c>
      <c r="G8" s="365"/>
      <c r="H8" s="366"/>
      <c r="I8" s="363"/>
      <c r="J8" s="363"/>
    </row>
    <row r="9" spans="2:10" ht="12.75">
      <c r="B9" s="199"/>
      <c r="E9" s="199"/>
      <c r="H9" s="204"/>
      <c r="I9" s="199"/>
      <c r="J9" s="199"/>
    </row>
    <row r="10" spans="2:10" ht="12.75">
      <c r="B10" s="199"/>
      <c r="E10" s="199"/>
      <c r="H10" s="199"/>
      <c r="I10" s="199"/>
      <c r="J10" s="199"/>
    </row>
    <row r="11" spans="2:10" ht="18">
      <c r="B11" s="199"/>
      <c r="E11" s="199" t="s">
        <v>51</v>
      </c>
      <c r="G11" s="365"/>
      <c r="H11" s="367"/>
      <c r="I11" s="363"/>
      <c r="J11" s="363"/>
    </row>
    <row r="12" spans="2:10" ht="12.75">
      <c r="B12" s="199"/>
      <c r="E12" s="199"/>
      <c r="H12" s="199"/>
      <c r="I12" s="199"/>
      <c r="J12" s="199"/>
    </row>
    <row r="13" spans="2:10" ht="18">
      <c r="B13" s="199"/>
      <c r="E13" s="199" t="s">
        <v>52</v>
      </c>
      <c r="G13" s="365"/>
      <c r="H13" s="367"/>
      <c r="I13" s="364"/>
      <c r="J13" s="363"/>
    </row>
    <row r="14" spans="2:10" ht="12.75">
      <c r="B14" s="199"/>
      <c r="C14" s="199"/>
      <c r="D14" s="199"/>
      <c r="E14" s="200"/>
      <c r="F14" s="199"/>
      <c r="G14" s="199"/>
      <c r="H14" s="199"/>
      <c r="I14" s="199"/>
      <c r="J14" s="199"/>
    </row>
    <row r="15" spans="2:10" s="211" customFormat="1" ht="17.25" customHeight="1">
      <c r="B15" s="210" t="s">
        <v>53</v>
      </c>
      <c r="C15" s="515" t="s">
        <v>54</v>
      </c>
      <c r="D15" s="524"/>
      <c r="E15" s="516"/>
      <c r="F15" s="210" t="s">
        <v>55</v>
      </c>
      <c r="G15" s="515" t="s">
        <v>153</v>
      </c>
      <c r="H15" s="516"/>
      <c r="I15" s="515" t="s">
        <v>56</v>
      </c>
      <c r="J15" s="516"/>
    </row>
    <row r="16" spans="2:12" ht="26.25" customHeight="1">
      <c r="B16" s="212"/>
      <c r="C16" s="517"/>
      <c r="D16" s="518"/>
      <c r="E16" s="519"/>
      <c r="F16" s="212"/>
      <c r="G16" s="525"/>
      <c r="H16" s="526"/>
      <c r="I16" s="531"/>
      <c r="J16" s="532"/>
      <c r="L16" s="362"/>
    </row>
    <row r="17" spans="2:10" ht="26.25" customHeight="1">
      <c r="B17" s="212"/>
      <c r="C17" s="520" t="s">
        <v>154</v>
      </c>
      <c r="D17" s="521"/>
      <c r="E17" s="522"/>
      <c r="F17" s="213"/>
      <c r="G17" s="527"/>
      <c r="H17" s="528"/>
      <c r="I17" s="531"/>
      <c r="J17" s="532"/>
    </row>
    <row r="18" spans="2:10" ht="26.25" customHeight="1">
      <c r="B18" s="212"/>
      <c r="C18" s="520" t="s">
        <v>154</v>
      </c>
      <c r="D18" s="521"/>
      <c r="E18" s="522"/>
      <c r="F18" s="216"/>
      <c r="G18" s="527"/>
      <c r="H18" s="528"/>
      <c r="I18" s="531"/>
      <c r="J18" s="532"/>
    </row>
    <row r="19" spans="2:10" ht="26.25" customHeight="1">
      <c r="B19" s="212"/>
      <c r="C19" s="520" t="s">
        <v>154</v>
      </c>
      <c r="D19" s="521"/>
      <c r="E19" s="522"/>
      <c r="F19" s="216"/>
      <c r="G19" s="527"/>
      <c r="H19" s="528"/>
      <c r="I19" s="533"/>
      <c r="J19" s="534"/>
    </row>
    <row r="20" spans="2:10" ht="26.25" customHeight="1">
      <c r="B20" s="212"/>
      <c r="C20" s="520" t="s">
        <v>154</v>
      </c>
      <c r="D20" s="521"/>
      <c r="E20" s="522"/>
      <c r="F20" s="216"/>
      <c r="G20" s="527"/>
      <c r="H20" s="528"/>
      <c r="I20" s="533"/>
      <c r="J20" s="534"/>
    </row>
    <row r="21" spans="2:10" ht="26.25" customHeight="1">
      <c r="B21" s="217" t="s">
        <v>57</v>
      </c>
      <c r="C21" s="520" t="s">
        <v>154</v>
      </c>
      <c r="D21" s="521"/>
      <c r="E21" s="522"/>
      <c r="F21" s="218" t="s">
        <v>58</v>
      </c>
      <c r="G21" s="529"/>
      <c r="H21" s="530"/>
      <c r="I21" s="515" t="s">
        <v>58</v>
      </c>
      <c r="J21" s="516"/>
    </row>
    <row r="22" spans="2:10" ht="26.25" customHeight="1">
      <c r="B22" s="219"/>
      <c r="C22" s="214"/>
      <c r="D22" s="220"/>
      <c r="E22" s="220"/>
      <c r="F22" s="221"/>
      <c r="G22" s="214"/>
      <c r="H22" s="214"/>
      <c r="I22" s="222"/>
      <c r="J22" s="222"/>
    </row>
    <row r="23" spans="2:10" ht="12.75">
      <c r="B23" s="199"/>
      <c r="C23" s="199"/>
      <c r="D23" s="199"/>
      <c r="E23" s="200"/>
      <c r="F23" s="199"/>
      <c r="G23" s="199"/>
      <c r="H23" s="199"/>
      <c r="I23" s="199"/>
      <c r="J23" s="199"/>
    </row>
    <row r="24" spans="2:10" ht="12.75">
      <c r="B24" s="199"/>
      <c r="C24" s="199"/>
      <c r="D24" s="199"/>
      <c r="E24" s="200"/>
      <c r="F24" s="201" t="s">
        <v>150</v>
      </c>
      <c r="G24" s="199"/>
      <c r="H24" s="199"/>
      <c r="I24" s="199"/>
      <c r="J24" s="199"/>
    </row>
    <row r="25" spans="2:10" ht="12.75">
      <c r="B25" s="203" t="s">
        <v>151</v>
      </c>
      <c r="D25" s="201"/>
      <c r="E25" s="200"/>
      <c r="F25" s="199"/>
      <c r="G25" s="199"/>
      <c r="H25" s="199"/>
      <c r="I25" s="199"/>
      <c r="J25" s="199"/>
    </row>
    <row r="26" spans="2:10" ht="12.75">
      <c r="B26" s="203" t="s">
        <v>152</v>
      </c>
      <c r="C26" s="199"/>
      <c r="D26" s="199"/>
      <c r="E26" s="200"/>
      <c r="F26" s="199"/>
      <c r="G26" s="199"/>
      <c r="H26" s="363"/>
      <c r="I26" s="364"/>
      <c r="J26" s="363"/>
    </row>
    <row r="27" spans="2:10" ht="12.75">
      <c r="B27" s="199"/>
      <c r="C27" s="199"/>
      <c r="D27" s="199"/>
      <c r="E27" s="200"/>
      <c r="F27" s="199"/>
      <c r="G27" s="199"/>
      <c r="H27" s="199"/>
      <c r="I27" s="204" t="s">
        <v>48</v>
      </c>
      <c r="J27" s="199"/>
    </row>
    <row r="28" spans="2:10" ht="12.75">
      <c r="B28" s="199"/>
      <c r="C28" s="199"/>
      <c r="D28" s="199"/>
      <c r="E28" s="200"/>
      <c r="F28" s="199"/>
      <c r="G28" s="199"/>
      <c r="H28" s="199"/>
      <c r="I28" s="205"/>
      <c r="J28" s="199"/>
    </row>
    <row r="29" spans="2:10" ht="18">
      <c r="B29" s="206"/>
      <c r="C29" s="206"/>
      <c r="D29" s="206"/>
      <c r="E29" s="207"/>
      <c r="F29" s="208"/>
      <c r="G29" s="209" t="s">
        <v>49</v>
      </c>
      <c r="H29" s="208"/>
      <c r="I29" s="206"/>
      <c r="J29" s="206"/>
    </row>
    <row r="30" spans="2:10" s="223" customFormat="1" ht="12.75">
      <c r="B30" s="199"/>
      <c r="C30" s="199"/>
      <c r="D30" s="199"/>
      <c r="E30" s="200"/>
      <c r="F30" s="202"/>
      <c r="G30" s="199"/>
      <c r="H30" s="199"/>
      <c r="I30" s="199"/>
      <c r="J30" s="199"/>
    </row>
    <row r="31" spans="2:10" s="223" customFormat="1" ht="18">
      <c r="B31" s="199"/>
      <c r="C31" s="202"/>
      <c r="D31" s="202"/>
      <c r="E31" s="199" t="s">
        <v>50</v>
      </c>
      <c r="F31" s="202"/>
      <c r="G31" s="365"/>
      <c r="H31" s="366"/>
      <c r="I31" s="363"/>
      <c r="J31" s="363"/>
    </row>
    <row r="32" spans="2:10" s="223" customFormat="1" ht="12.75">
      <c r="B32" s="199"/>
      <c r="C32" s="202"/>
      <c r="D32" s="202"/>
      <c r="E32" s="199"/>
      <c r="F32" s="202"/>
      <c r="G32" s="202"/>
      <c r="H32" s="204"/>
      <c r="I32" s="199"/>
      <c r="J32" s="199"/>
    </row>
    <row r="33" spans="2:10" s="223" customFormat="1" ht="12.75">
      <c r="B33" s="199"/>
      <c r="C33" s="202"/>
      <c r="D33" s="202"/>
      <c r="E33" s="199"/>
      <c r="F33" s="202"/>
      <c r="G33" s="202"/>
      <c r="H33" s="199"/>
      <c r="I33" s="199"/>
      <c r="J33" s="199"/>
    </row>
    <row r="34" spans="2:10" s="223" customFormat="1" ht="18">
      <c r="B34" s="199"/>
      <c r="C34" s="202"/>
      <c r="D34" s="202"/>
      <c r="E34" s="199" t="s">
        <v>51</v>
      </c>
      <c r="F34" s="202"/>
      <c r="G34" s="365"/>
      <c r="H34" s="367"/>
      <c r="I34" s="363"/>
      <c r="J34" s="363"/>
    </row>
    <row r="35" spans="2:10" s="223" customFormat="1" ht="12.75">
      <c r="B35" s="199"/>
      <c r="C35" s="202"/>
      <c r="D35" s="202"/>
      <c r="E35" s="199"/>
      <c r="F35" s="202"/>
      <c r="G35" s="202"/>
      <c r="H35" s="199"/>
      <c r="I35" s="199"/>
      <c r="J35" s="199"/>
    </row>
    <row r="36" spans="2:10" s="223" customFormat="1" ht="18">
      <c r="B36" s="199"/>
      <c r="C36" s="202"/>
      <c r="D36" s="202"/>
      <c r="E36" s="199" t="s">
        <v>52</v>
      </c>
      <c r="F36" s="202"/>
      <c r="G36" s="365"/>
      <c r="H36" s="367"/>
      <c r="I36" s="364"/>
      <c r="J36" s="363"/>
    </row>
    <row r="37" spans="2:10" s="223" customFormat="1" ht="12.75">
      <c r="B37" s="199"/>
      <c r="C37" s="199"/>
      <c r="D37" s="199"/>
      <c r="E37" s="200"/>
      <c r="F37" s="199"/>
      <c r="G37" s="199"/>
      <c r="H37" s="199"/>
      <c r="I37" s="199"/>
      <c r="J37" s="199"/>
    </row>
    <row r="38" spans="2:10" s="223" customFormat="1" ht="17.25" customHeight="1">
      <c r="B38" s="210" t="s">
        <v>53</v>
      </c>
      <c r="C38" s="515" t="s">
        <v>54</v>
      </c>
      <c r="D38" s="524"/>
      <c r="E38" s="516"/>
      <c r="F38" s="210" t="s">
        <v>55</v>
      </c>
      <c r="G38" s="515" t="s">
        <v>153</v>
      </c>
      <c r="H38" s="516"/>
      <c r="I38" s="515" t="s">
        <v>56</v>
      </c>
      <c r="J38" s="516"/>
    </row>
    <row r="39" spans="2:10" s="223" customFormat="1" ht="26.25" customHeight="1">
      <c r="B39" s="212"/>
      <c r="C39" s="517"/>
      <c r="D39" s="518"/>
      <c r="E39" s="519"/>
      <c r="F39" s="212"/>
      <c r="G39" s="525"/>
      <c r="H39" s="526"/>
      <c r="I39" s="531"/>
      <c r="J39" s="532"/>
    </row>
    <row r="40" spans="2:10" s="223" customFormat="1" ht="26.25" customHeight="1">
      <c r="B40" s="212"/>
      <c r="C40" s="520" t="s">
        <v>154</v>
      </c>
      <c r="D40" s="521"/>
      <c r="E40" s="522"/>
      <c r="F40" s="213"/>
      <c r="G40" s="527"/>
      <c r="H40" s="528"/>
      <c r="I40" s="531"/>
      <c r="J40" s="532"/>
    </row>
    <row r="41" spans="2:10" s="223" customFormat="1" ht="26.25" customHeight="1">
      <c r="B41" s="212"/>
      <c r="C41" s="520" t="s">
        <v>154</v>
      </c>
      <c r="D41" s="521"/>
      <c r="E41" s="522"/>
      <c r="F41" s="216"/>
      <c r="G41" s="527"/>
      <c r="H41" s="528"/>
      <c r="I41" s="531"/>
      <c r="J41" s="532"/>
    </row>
    <row r="42" spans="2:10" s="223" customFormat="1" ht="26.25" customHeight="1">
      <c r="B42" s="212"/>
      <c r="C42" s="520" t="s">
        <v>154</v>
      </c>
      <c r="D42" s="521"/>
      <c r="E42" s="522"/>
      <c r="F42" s="216"/>
      <c r="G42" s="527"/>
      <c r="H42" s="528"/>
      <c r="I42" s="533"/>
      <c r="J42" s="534"/>
    </row>
    <row r="43" spans="2:10" s="223" customFormat="1" ht="26.25" customHeight="1">
      <c r="B43" s="212"/>
      <c r="C43" s="520" t="s">
        <v>154</v>
      </c>
      <c r="D43" s="521"/>
      <c r="E43" s="522"/>
      <c r="F43" s="216"/>
      <c r="G43" s="527"/>
      <c r="H43" s="528"/>
      <c r="I43" s="533"/>
      <c r="J43" s="534"/>
    </row>
    <row r="44" spans="2:10" s="223" customFormat="1" ht="26.25" customHeight="1">
      <c r="B44" s="217" t="s">
        <v>57</v>
      </c>
      <c r="C44" s="520" t="s">
        <v>154</v>
      </c>
      <c r="D44" s="521"/>
      <c r="E44" s="522"/>
      <c r="F44" s="218" t="s">
        <v>58</v>
      </c>
      <c r="G44" s="529"/>
      <c r="H44" s="530"/>
      <c r="I44" s="515" t="s">
        <v>58</v>
      </c>
      <c r="J44" s="516"/>
    </row>
    <row r="45" spans="2:10" s="223" customFormat="1" ht="15">
      <c r="B45" s="224"/>
      <c r="C45" s="214"/>
      <c r="D45" s="215"/>
      <c r="E45" s="225"/>
      <c r="F45" s="224"/>
      <c r="G45" s="214"/>
      <c r="H45" s="214"/>
      <c r="I45" s="226"/>
      <c r="J45" s="214"/>
    </row>
    <row r="46" spans="2:10" s="223" customFormat="1" ht="15">
      <c r="B46" s="224"/>
      <c r="C46" s="214"/>
      <c r="D46" s="215"/>
      <c r="E46" s="225"/>
      <c r="F46" s="224"/>
      <c r="G46" s="226"/>
      <c r="H46" s="214"/>
      <c r="I46" s="226"/>
      <c r="J46" s="214"/>
    </row>
    <row r="47" spans="2:10" s="223" customFormat="1" ht="15">
      <c r="B47" s="224"/>
      <c r="C47" s="214"/>
      <c r="D47" s="215"/>
      <c r="E47" s="225"/>
      <c r="F47" s="224"/>
      <c r="G47" s="214"/>
      <c r="H47" s="214"/>
      <c r="I47" s="227"/>
      <c r="J47" s="214"/>
    </row>
    <row r="48" spans="2:10" s="223" customFormat="1" ht="15">
      <c r="B48" s="224"/>
      <c r="C48" s="214"/>
      <c r="D48" s="215"/>
      <c r="E48" s="225"/>
      <c r="F48" s="224"/>
      <c r="G48" s="214"/>
      <c r="H48" s="214"/>
      <c r="I48" s="227"/>
      <c r="J48" s="214"/>
    </row>
    <row r="49" spans="2:10" s="223" customFormat="1" ht="15">
      <c r="B49" s="214"/>
      <c r="C49" s="214"/>
      <c r="D49" s="523"/>
      <c r="E49" s="523"/>
      <c r="F49" s="523"/>
      <c r="G49" s="214"/>
      <c r="H49" s="214"/>
      <c r="I49" s="228"/>
      <c r="J49" s="214"/>
    </row>
  </sheetData>
  <sheetProtection password="C7E2" sheet="1" objects="1" scenarios="1"/>
  <mergeCells count="33">
    <mergeCell ref="I43:J43"/>
    <mergeCell ref="C39:E39"/>
    <mergeCell ref="C40:E40"/>
    <mergeCell ref="I19:J19"/>
    <mergeCell ref="I20:J20"/>
    <mergeCell ref="C17:E17"/>
    <mergeCell ref="C43:E43"/>
    <mergeCell ref="C44:E44"/>
    <mergeCell ref="G39:H44"/>
    <mergeCell ref="I39:J39"/>
    <mergeCell ref="I40:J40"/>
    <mergeCell ref="I41:J41"/>
    <mergeCell ref="I42:J42"/>
    <mergeCell ref="D49:F49"/>
    <mergeCell ref="I21:J21"/>
    <mergeCell ref="G15:H15"/>
    <mergeCell ref="I15:J15"/>
    <mergeCell ref="C15:E15"/>
    <mergeCell ref="C38:E38"/>
    <mergeCell ref="G38:H38"/>
    <mergeCell ref="C41:E41"/>
    <mergeCell ref="C42:E42"/>
    <mergeCell ref="C21:E21"/>
    <mergeCell ref="I38:J38"/>
    <mergeCell ref="I44:J44"/>
    <mergeCell ref="C16:E16"/>
    <mergeCell ref="C18:E18"/>
    <mergeCell ref="C19:E19"/>
    <mergeCell ref="C20:E20"/>
    <mergeCell ref="G16:H21"/>
    <mergeCell ref="I16:J16"/>
    <mergeCell ref="I17:J17"/>
    <mergeCell ref="I18:J18"/>
  </mergeCells>
  <printOptions horizontalCentered="1" verticalCentered="1"/>
  <pageMargins left="0.67" right="0.6299212598425197" top="0.4330708661417323" bottom="0.49" header="0.35433070866141736" footer="0.4724409448818898"/>
  <pageSetup horizontalDpi="300" verticalDpi="3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codeName="Sheet21">
    <tabColor indexed="34"/>
  </sheetPr>
  <dimension ref="A1:K37"/>
  <sheetViews>
    <sheetView showRowColHeaders="0" zoomScalePageLayoutView="0" workbookViewId="0" topLeftCell="A41">
      <selection activeCell="G59" sqref="G59"/>
    </sheetView>
  </sheetViews>
  <sheetFormatPr defaultColWidth="9.140625" defaultRowHeight="12.75"/>
  <cols>
    <col min="1" max="1" width="9.140625" style="6" customWidth="1"/>
    <col min="2" max="2" width="14.00390625" style="6" customWidth="1"/>
    <col min="3" max="3" width="14.140625" style="6" customWidth="1"/>
    <col min="4" max="4" width="9.140625" style="6" customWidth="1"/>
    <col min="5" max="5" width="10.7109375" style="6" customWidth="1"/>
    <col min="6" max="16384" width="9.140625" style="6" customWidth="1"/>
  </cols>
  <sheetData>
    <row r="1" ht="12.75">
      <c r="D1" s="7" t="s">
        <v>29</v>
      </c>
    </row>
    <row r="2" spans="5:6" ht="12.75">
      <c r="E2" s="7"/>
      <c r="F2" s="8"/>
    </row>
    <row r="3" ht="12.75">
      <c r="A3" s="6" t="s">
        <v>30</v>
      </c>
    </row>
    <row r="4" ht="12.75">
      <c r="A4" s="6" t="s">
        <v>31</v>
      </c>
    </row>
    <row r="5" ht="12.75">
      <c r="A5" s="6" t="s">
        <v>32</v>
      </c>
    </row>
    <row r="6" ht="12.75">
      <c r="A6" s="6" t="s">
        <v>33</v>
      </c>
    </row>
    <row r="7" ht="12.75">
      <c r="A7" s="6" t="s">
        <v>34</v>
      </c>
    </row>
    <row r="8" ht="12.75">
      <c r="A8" s="6" t="s">
        <v>35</v>
      </c>
    </row>
    <row r="9" ht="12.75">
      <c r="A9" s="6" t="s">
        <v>36</v>
      </c>
    </row>
    <row r="10" ht="12.75" hidden="1">
      <c r="K10" s="8"/>
    </row>
    <row r="11" ht="12.75" hidden="1"/>
    <row r="12" ht="12.75" hidden="1"/>
    <row r="13" ht="12.75" hidden="1"/>
    <row r="14" spans="1:7" ht="12.75" hidden="1">
      <c r="A14" s="7" t="s">
        <v>37</v>
      </c>
      <c r="B14" s="6">
        <f>IF(ISBLANK('Organizacija natjecanja'!H18)=TRUE,"",'Organizacija natjecanja'!H18)</f>
      </c>
      <c r="C14" s="6" t="str">
        <f>'Organizacija natjecanja'!E7</f>
        <v>Organizator natjecanja:</v>
      </c>
      <c r="E14" s="6">
        <f>IF(ISBLANK('Organizacija natjecanja'!H7)=TRUE,"",'Organizacija natjecanja'!H7)</f>
      </c>
      <c r="G14" s="6" t="s">
        <v>38</v>
      </c>
    </row>
    <row r="15" spans="1:7" ht="12.75" hidden="1">
      <c r="A15" s="7" t="s">
        <v>39</v>
      </c>
      <c r="B15" s="6">
        <f>IF(ISBLANK('Organizacija natjecanja'!H14)=TRUE,"",'Organizacija natjecanja'!H14)</f>
      </c>
      <c r="C15" s="6" t="str">
        <f>'Organizacija natjecanja'!E13</f>
        <v>Domaćin natjecanja:</v>
      </c>
      <c r="E15" s="6">
        <f>IF(ISBLANK('Organizacija natjecanja'!H13)=TRUE,"",'Organizacija natjecanja'!H13)</f>
      </c>
      <c r="G15" s="6" t="s">
        <v>40</v>
      </c>
    </row>
    <row r="16" spans="1:7" ht="12.75" hidden="1">
      <c r="A16" s="7" t="s">
        <v>41</v>
      </c>
      <c r="B16" s="6">
        <f>IF(ISBLANK('Organizacija natjecanja'!H16)=TRUE,"",'Organizacija natjecanja'!H16)</f>
      </c>
      <c r="C16" s="6" t="str">
        <f>'Organizacija natjecanja'!E16</f>
        <v>Vrhovni sudac:</v>
      </c>
      <c r="G16" s="6" t="s">
        <v>40</v>
      </c>
    </row>
    <row r="17" spans="1:7" ht="12.75" hidden="1">
      <c r="A17" s="7" t="s">
        <v>42</v>
      </c>
      <c r="B17" s="9" t="e">
        <f>VLOOKUP(SMALL($A$26:$A$37,1),$A$26:$D$37,3,FALSE)</f>
        <v>#NUM!</v>
      </c>
      <c r="C17" s="9" t="e">
        <f>VLOOKUP(SMALL($A$26:$A$37,1),$A$26:$D$37,4,FALSE)</f>
        <v>#NUM!</v>
      </c>
      <c r="D17" s="10"/>
      <c r="E17" s="9" t="s">
        <v>130</v>
      </c>
      <c r="F17" s="123" t="e">
        <f>SMALL($A$26:$A$37,1)</f>
        <v>#NUM!</v>
      </c>
      <c r="G17" s="6" t="s">
        <v>40</v>
      </c>
    </row>
    <row r="18" spans="1:7" ht="12.75" hidden="1">
      <c r="A18" s="7" t="s">
        <v>43</v>
      </c>
      <c r="B18" s="9" t="e">
        <f>VLOOKUP(SMALL($A$26:$A$37,2),$A$26:$D$37,3,FALSE)</f>
        <v>#NUM!</v>
      </c>
      <c r="C18" s="9" t="e">
        <f>VLOOKUP(SMALL($A$26:$A$37,2),$A$26:$D$37,4,FALSE)</f>
        <v>#NUM!</v>
      </c>
      <c r="D18" s="10"/>
      <c r="E18" s="9" t="s">
        <v>130</v>
      </c>
      <c r="F18" s="123" t="e">
        <f>SMALL($A$26:$A$37,2)</f>
        <v>#NUM!</v>
      </c>
      <c r="G18" s="6" t="s">
        <v>40</v>
      </c>
    </row>
    <row r="19" spans="1:7" ht="12.75" hidden="1">
      <c r="A19" s="7" t="s">
        <v>44</v>
      </c>
      <c r="B19" s="9" t="e">
        <f>VLOOKUP(SMALL($A$26:$A$37,3),$A$26:$D$37,3,FALSE)</f>
        <v>#NUM!</v>
      </c>
      <c r="C19" s="9" t="e">
        <f>VLOOKUP(SMALL($A$26:$A$37,3),$A$26:$D$37,4,FALSE)</f>
        <v>#NUM!</v>
      </c>
      <c r="D19" s="10"/>
      <c r="E19" s="9" t="s">
        <v>130</v>
      </c>
      <c r="F19" s="123" t="e">
        <f>SMALL($A$26:$A$37,3)</f>
        <v>#NUM!</v>
      </c>
      <c r="G19" s="6" t="s">
        <v>40</v>
      </c>
    </row>
    <row r="20" spans="1:7" ht="12.75" hidden="1">
      <c r="A20" s="7" t="s">
        <v>45</v>
      </c>
      <c r="B20" s="9" t="e">
        <f>VLOOKUP(SMALL($A$26:$A$37,4),$A$26:$D$37,3,FALSE)</f>
        <v>#NUM!</v>
      </c>
      <c r="C20" s="9" t="e">
        <f>VLOOKUP(SMALL($A$26:$A$37,4),$A$26:$D$37,4,FALSE)</f>
        <v>#NUM!</v>
      </c>
      <c r="D20" s="10"/>
      <c r="E20" s="9" t="s">
        <v>130</v>
      </c>
      <c r="F20" s="123" t="e">
        <f>SMALL($A$26:$A$37,4)</f>
        <v>#NUM!</v>
      </c>
      <c r="G20" s="6" t="s">
        <v>40</v>
      </c>
    </row>
    <row r="21" spans="2:6" ht="12.75" hidden="1">
      <c r="B21" s="9"/>
      <c r="C21" s="9"/>
      <c r="D21" s="9"/>
      <c r="E21" s="9"/>
      <c r="F21" s="9"/>
    </row>
    <row r="22" ht="12.75" hidden="1"/>
    <row r="23" spans="1:7" ht="12.75" hidden="1">
      <c r="A23" s="11"/>
      <c r="B23" s="12"/>
      <c r="C23" s="12"/>
      <c r="D23" s="12"/>
      <c r="E23" s="12"/>
      <c r="F23" s="12"/>
      <c r="G23" s="12"/>
    </row>
    <row r="24" ht="12.75" hidden="1"/>
    <row r="25" spans="1:4" ht="22.5" hidden="1">
      <c r="A25" s="13" t="s">
        <v>19</v>
      </c>
      <c r="B25" s="14" t="s">
        <v>46</v>
      </c>
      <c r="C25" s="15" t="s">
        <v>47</v>
      </c>
      <c r="D25" s="15" t="s">
        <v>20</v>
      </c>
    </row>
    <row r="26" spans="1:4" ht="12.75" hidden="1">
      <c r="A26" s="7">
        <f>IF(AND(ISNUMBER('Prijava ekipa i izvlačenje br.'!B13)=TRUE,COUNTIF(B26,"kapetan")=1),'Prijava ekipa i izvlačenje br.'!B13,"")</f>
      </c>
      <c r="B26" s="16">
        <f>IF(ISBLANK('Prijava ekipa i izvlačenje br.'!S13)=TRUE,"",IF(OR(EXACT('Prijava ekipa i izvlačenje br.'!D13,'Prijava ekipa i izvlačenje br.'!S13),EXACT('Prijava ekipa i izvlačenje br.'!G13,'Prijava ekipa i izvlačenje br.'!S13),EXACT('Prijava ekipa i izvlačenje br.'!J13,'Prijava ekipa i izvlačenje br.'!S13),EXACT('Prijava ekipa i izvlačenje br.'!M13,'Prijava ekipa i izvlačenje br.'!S13),EXACT('Prijava ekipa i izvlačenje br.'!P13,'Prijava ekipa i izvlačenje br.'!S13)=TRUE),"","kapetan"))</f>
      </c>
      <c r="C26" s="6">
        <f>IF(AND(ISTEXT('Prijava ekipa i izvlačenje br.'!S12)=TRUE,COUNTIF(B26,"kapetan")=1),VLOOKUP(A26,'Prijava ekipa i izvlačenje br.'!B$2:S$36,18,FALSE),"")</f>
      </c>
      <c r="D26" s="17">
        <f>IF(AND(ISTEXT('Prijava ekipa i izvlačenje br.'!C12)=TRUE,COUNTIF(B26,"kapetan")=1),VLOOKUP(A26,'Prijava ekipa i izvlačenje br.'!B$2:S$36,2,FALSE),"")</f>
      </c>
    </row>
    <row r="27" spans="1:4" ht="12.75" hidden="1">
      <c r="A27" s="7">
        <f>IF(AND(ISNUMBER('Prijava ekipa i izvlačenje br.'!B5)=TRUE,COUNTIF(B27,"kapetan")=1),'Prijava ekipa i izvlačenje br.'!B5,"")</f>
      </c>
      <c r="B27" s="16">
        <f>IF(ISBLANK('Prijava ekipa i izvlačenje br.'!S5)=TRUE,"",IF(OR(EXACT('Prijava ekipa i izvlačenje br.'!D5,'Prijava ekipa i izvlačenje br.'!S5),EXACT('Prijava ekipa i izvlačenje br.'!G5,'Prijava ekipa i izvlačenje br.'!S5),EXACT('Prijava ekipa i izvlačenje br.'!J5,'Prijava ekipa i izvlačenje br.'!S5),EXACT('Prijava ekipa i izvlačenje br.'!M5,'Prijava ekipa i izvlačenje br.'!S5),EXACT('Prijava ekipa i izvlačenje br.'!P5,'Prijava ekipa i izvlačenje br.'!S5)=TRUE),"","kapetan"))</f>
      </c>
      <c r="C27" s="6">
        <f>IF(AND(ISTEXT('Prijava ekipa i izvlačenje br.'!S4)=TRUE,COUNTIF(B27,"kapetan")=1),VLOOKUP(A27,'Prijava ekipa i izvlačenje br.'!B$2:S$36,18,FALSE),"")</f>
      </c>
      <c r="D27" s="17">
        <f>IF(AND(ISTEXT('Prijava ekipa i izvlačenje br.'!C4)=TRUE,COUNTIF(B27,"kapetan")=1),VLOOKUP(A27,'Prijava ekipa i izvlačenje br.'!B$2:S$36,2,FALSE),"")</f>
      </c>
    </row>
    <row r="28" spans="1:4" ht="12.75" hidden="1">
      <c r="A28" s="7">
        <f>IF(AND(ISNUMBER('Prijava ekipa i izvlačenje br.'!B6)=TRUE,COUNTIF(B28,"kapetan")=1),'Prijava ekipa i izvlačenje br.'!B6,"")</f>
      </c>
      <c r="B28" s="16">
        <f>IF(ISBLANK('Prijava ekipa i izvlačenje br.'!S6)=TRUE,"",IF(OR(EXACT('Prijava ekipa i izvlačenje br.'!D6,'Prijava ekipa i izvlačenje br.'!S6),EXACT('Prijava ekipa i izvlačenje br.'!G6,'Prijava ekipa i izvlačenje br.'!S6),EXACT('Prijava ekipa i izvlačenje br.'!J6,'Prijava ekipa i izvlačenje br.'!S6),EXACT('Prijava ekipa i izvlačenje br.'!M6,'Prijava ekipa i izvlačenje br.'!S6),EXACT('Prijava ekipa i izvlačenje br.'!P6,'Prijava ekipa i izvlačenje br.'!S6)=TRUE),"","kapetan"))</f>
      </c>
      <c r="C28" s="6">
        <f>IF(AND(ISTEXT('Prijava ekipa i izvlačenje br.'!S5)=TRUE,COUNTIF(B28,"kapetan")=1),VLOOKUP(A28,'Prijava ekipa i izvlačenje br.'!B$2:S$36,18,FALSE),"")</f>
      </c>
      <c r="D28" s="17">
        <f>IF(AND(ISTEXT('Prijava ekipa i izvlačenje br.'!C5)=TRUE,COUNTIF(B28,"kapetan")=1),VLOOKUP(A28,'Prijava ekipa i izvlačenje br.'!B$2:S$36,2,FALSE),"")</f>
      </c>
    </row>
    <row r="29" spans="1:4" ht="12.75" hidden="1">
      <c r="A29" s="7">
        <f>IF(AND(ISNUMBER('Prijava ekipa i izvlačenje br.'!B4)=TRUE,COUNTIF(B29,"kapetan")=1),'Prijava ekipa i izvlačenje br.'!B4,"")</f>
      </c>
      <c r="B29" s="16">
        <f>IF(ISBLANK('Prijava ekipa i izvlačenje br.'!S4)=TRUE,"",IF(OR(EXACT('Prijava ekipa i izvlačenje br.'!D4,'Prijava ekipa i izvlačenje br.'!S4),EXACT('Prijava ekipa i izvlačenje br.'!G4,'Prijava ekipa i izvlačenje br.'!S4),EXACT('Prijava ekipa i izvlačenje br.'!J4,'Prijava ekipa i izvlačenje br.'!S4),EXACT('Prijava ekipa i izvlačenje br.'!M4,'Prijava ekipa i izvlačenje br.'!S4),EXACT('Prijava ekipa i izvlačenje br.'!P4,'Prijava ekipa i izvlačenje br.'!S4)=TRUE),"","kapetan"))</f>
      </c>
      <c r="C29" s="6">
        <f>IF(AND(ISTEXT('Prijava ekipa i izvlačenje br.'!S4)=TRUE,COUNTIF(B29,"kapetan")=1),VLOOKUP(3,'Prijava ekipa i izvlačenje br.'!B$2:S$36,18,FALSE),"")</f>
      </c>
      <c r="D29" s="17">
        <f>IF(AND(ISTEXT('Prijava ekipa i izvlačenje br.'!C4)=TRUE,COUNTIF(B29,"kapetan")=1),VLOOKUP(3,'Prijava ekipa i izvlačenje br.'!B$2:S$36,2,FALSE),"")</f>
      </c>
    </row>
    <row r="30" spans="1:4" ht="12.75" hidden="1">
      <c r="A30" s="7">
        <f>IF(AND(ISNUMBER('Prijava ekipa i izvlačenje br.'!B12)=TRUE,COUNTIF(B30,"kapetan")=1),'Prijava ekipa i izvlačenje br.'!B12,"")</f>
      </c>
      <c r="B30" s="16">
        <f>IF(ISBLANK('Prijava ekipa i izvlačenje br.'!S12)=TRUE,"",IF(OR(EXACT('Prijava ekipa i izvlačenje br.'!D12,'Prijava ekipa i izvlačenje br.'!S12),EXACT('Prijava ekipa i izvlačenje br.'!G12,'Prijava ekipa i izvlačenje br.'!S12),EXACT('Prijava ekipa i izvlačenje br.'!J12,'Prijava ekipa i izvlačenje br.'!S12),EXACT('Prijava ekipa i izvlačenje br.'!M12,'Prijava ekipa i izvlačenje br.'!S12),EXACT('Prijava ekipa i izvlačenje br.'!P12,'Prijava ekipa i izvlačenje br.'!S12)=TRUE),"","kapetan"))</f>
      </c>
      <c r="C30" s="6">
        <f>IF(AND(ISTEXT('Prijava ekipa i izvlačenje br.'!S11)=TRUE,COUNTIF(B30,"kapetan")=1),VLOOKUP(A30,'Prijava ekipa i izvlačenje br.'!B$2:S$36,18,FALSE),"")</f>
      </c>
      <c r="D30" s="17">
        <f>IF(AND(ISTEXT('Prijava ekipa i izvlačenje br.'!C11)=TRUE,COUNTIF(B30,"kapetan")=1),VLOOKUP(A30,'Prijava ekipa i izvlačenje br.'!B$2:S$36,2,FALSE),"")</f>
      </c>
    </row>
    <row r="31" spans="1:4" ht="12.75" hidden="1">
      <c r="A31" s="7">
        <f>IF(AND(ISNUMBER('Prijava ekipa i izvlačenje br.'!B3)=TRUE,COUNTIF(B31,"kapetan")=1),'Prijava ekipa i izvlačenje br.'!B3,"")</f>
      </c>
      <c r="B31" s="16">
        <f>IF(ISBLANK('Prijava ekipa i izvlačenje br.'!S3)=TRUE,"",IF(OR(EXACT('Prijava ekipa i izvlačenje br.'!D3,'Prijava ekipa i izvlačenje br.'!S3),EXACT('Prijava ekipa i izvlačenje br.'!G3,'Prijava ekipa i izvlačenje br.'!S3),EXACT('Prijava ekipa i izvlačenje br.'!J3,'Prijava ekipa i izvlačenje br.'!S3),EXACT('Prijava ekipa i izvlačenje br.'!M3,'Prijava ekipa i izvlačenje br.'!S3),EXACT('Prijava ekipa i izvlačenje br.'!P3,'Prijava ekipa i izvlačenje br.'!S3)=TRUE),"","kapetan"))</f>
      </c>
      <c r="C31" s="6">
        <f>IF(AND(ISTEXT('Prijava ekipa i izvlačenje br.'!S3)=TRUE,COUNTIF(B31,"kapetan")=1),VLOOKUP(A31,'Prijava ekipa i izvlačenje br.'!B$2:S$36,18,FALSE),"")</f>
      </c>
      <c r="D31" s="17">
        <f>IF(AND(ISTEXT('Prijava ekipa i izvlačenje br.'!C3)=TRUE,COUNTIF(B31,"kapetan")=1),VLOOKUP(A31,'Prijava ekipa i izvlačenje br.'!B$2:S$36,2,FALSE),"")</f>
      </c>
    </row>
    <row r="32" spans="1:4" ht="12.75" hidden="1">
      <c r="A32" s="7">
        <f>IF(AND(ISNUMBER('Prijava ekipa i izvlačenje br.'!B9)=TRUE,COUNTIF(B32,"kapetan")=1),'Prijava ekipa i izvlačenje br.'!B9,"")</f>
      </c>
      <c r="B32" s="16">
        <f>IF(ISBLANK('Prijava ekipa i izvlačenje br.'!S9)=TRUE,"",IF(OR(EXACT('Prijava ekipa i izvlačenje br.'!D9,'Prijava ekipa i izvlačenje br.'!S9),EXACT('Prijava ekipa i izvlačenje br.'!G9,'Prijava ekipa i izvlačenje br.'!S9),EXACT('Prijava ekipa i izvlačenje br.'!J9,'Prijava ekipa i izvlačenje br.'!S9),EXACT('Prijava ekipa i izvlačenje br.'!M9,'Prijava ekipa i izvlačenje br.'!S9),EXACT('Prijava ekipa i izvlačenje br.'!P9,'Prijava ekipa i izvlačenje br.'!S9)=TRUE),"","kapetan"))</f>
      </c>
      <c r="C32" s="6">
        <f>IF(AND(ISTEXT('Prijava ekipa i izvlačenje br.'!S8)=TRUE,COUNTIF(B32,"kapetan")=1),VLOOKUP(A32,'Prijava ekipa i izvlačenje br.'!B$2:S$36,18,FALSE),"")</f>
      </c>
      <c r="D32" s="17">
        <f>IF(AND(ISTEXT('Prijava ekipa i izvlačenje br.'!C8)=TRUE,COUNTIF(B32,"kapetan")=1),VLOOKUP(A32,'Prijava ekipa i izvlačenje br.'!B$2:S$36,2,FALSE),"")</f>
      </c>
    </row>
    <row r="33" spans="1:4" ht="12.75" hidden="1">
      <c r="A33" s="7">
        <f>IF(AND(ISNUMBER('Prijava ekipa i izvlačenje br.'!B10)=TRUE,COUNTIF(B33,"kapetan")=1),'Prijava ekipa i izvlačenje br.'!B10,"")</f>
      </c>
      <c r="B33" s="16">
        <f>IF(ISBLANK('Prijava ekipa i izvlačenje br.'!S10)=TRUE,"",IF(OR(EXACT('Prijava ekipa i izvlačenje br.'!D10,'Prijava ekipa i izvlačenje br.'!S10),EXACT('Prijava ekipa i izvlačenje br.'!G10,'Prijava ekipa i izvlačenje br.'!S10),EXACT('Prijava ekipa i izvlačenje br.'!J10,'Prijava ekipa i izvlačenje br.'!S10),EXACT('Prijava ekipa i izvlačenje br.'!M10,'Prijava ekipa i izvlačenje br.'!S10),EXACT('Prijava ekipa i izvlačenje br.'!P10,'Prijava ekipa i izvlačenje br.'!S10)=TRUE),"","kapetan"))</f>
      </c>
      <c r="C33" s="6">
        <f>IF(AND(ISTEXT('Prijava ekipa i izvlačenje br.'!S9)=TRUE,COUNTIF(B33,"kapetan")=1),VLOOKUP(A33,'Prijava ekipa i izvlačenje br.'!B$2:S$36,18,FALSE),"")</f>
      </c>
      <c r="D33" s="17">
        <f>IF(AND(ISTEXT('Prijava ekipa i izvlačenje br.'!C9)=TRUE,COUNTIF(B33,"kapetan")=1),VLOOKUP(A33,'Prijava ekipa i izvlačenje br.'!B$2:S$36,2,FALSE),"")</f>
      </c>
    </row>
    <row r="34" spans="1:4" ht="12.75" hidden="1">
      <c r="A34" s="7">
        <f>IF(AND(ISNUMBER('Prijava ekipa i izvlačenje br.'!B7)=TRUE,COUNTIF(B34,"kapetan")=1),'Prijava ekipa i izvlačenje br.'!B7,"")</f>
      </c>
      <c r="B34" s="16">
        <f>IF(ISBLANK('Prijava ekipa i izvlačenje br.'!S7)=TRUE,"",IF(OR(EXACT('Prijava ekipa i izvlačenje br.'!D7,'Prijava ekipa i izvlačenje br.'!S7),EXACT('Prijava ekipa i izvlačenje br.'!G7,'Prijava ekipa i izvlačenje br.'!S7),EXACT('Prijava ekipa i izvlačenje br.'!J7,'Prijava ekipa i izvlačenje br.'!S7),EXACT('Prijava ekipa i izvlačenje br.'!M7,'Prijava ekipa i izvlačenje br.'!S7),EXACT('Prijava ekipa i izvlačenje br.'!P7,'Prijava ekipa i izvlačenje br.'!S7)=TRUE),"","kapetan"))</f>
      </c>
      <c r="C34" s="6">
        <f>IF(AND(ISTEXT('Prijava ekipa i izvlačenje br.'!S6)=TRUE,COUNTIF(B34,"kapetan")=1),VLOOKUP(A34,'Prijava ekipa i izvlačenje br.'!B$2:S$36,18,FALSE),"")</f>
      </c>
      <c r="D34" s="17">
        <f>IF(AND(ISTEXT('Prijava ekipa i izvlačenje br.'!C6)=TRUE,COUNTIF(B34,"kapetan")=1),VLOOKUP(A34,'Prijava ekipa i izvlačenje br.'!B$2:S$36,2,FALSE),"")</f>
      </c>
    </row>
    <row r="35" spans="1:4" ht="12.75" hidden="1">
      <c r="A35" s="7">
        <f>IF(AND(ISNUMBER('Prijava ekipa i izvlačenje br.'!B2)=TRUE,COUNTIF(B35,"kapetan")=1),'Prijava ekipa i izvlačenje br.'!B2,"")</f>
      </c>
      <c r="B35" s="16">
        <f>IF(ISBLANK('Prijava ekipa i izvlačenje br.'!S2)=TRUE,"",IF(OR(EXACT('Prijava ekipa i izvlačenje br.'!D2,'Prijava ekipa i izvlačenje br.'!S2),EXACT('Prijava ekipa i izvlačenje br.'!G2,'Prijava ekipa i izvlačenje br.'!S2),EXACT('Prijava ekipa i izvlačenje br.'!J2,'Prijava ekipa i izvlačenje br.'!S2),EXACT('Prijava ekipa i izvlačenje br.'!M2,'Prijava ekipa i izvlačenje br.'!S2),EXACT('Prijava ekipa i izvlačenje br.'!P2,'Prijava ekipa i izvlačenje br.'!S2)=TRUE),"","kapetan"))</f>
      </c>
      <c r="C35" s="6">
        <f>IF(AND(ISTEXT('Prijava ekipa i izvlačenje br.'!S2)=TRUE,COUNTIF(B35,"kapetan")=1),VLOOKUP(A35,'Prijava ekipa i izvlačenje br.'!B$2:S$36,18,FALSE),"")</f>
      </c>
      <c r="D35" s="17">
        <f>IF(AND(ISTEXT('Prijava ekipa i izvlačenje br.'!C2)=TRUE,COUNTIF(B35,"kapetan")=1),VLOOKUP(A35,'Prijava ekipa i izvlačenje br.'!B$2:S$36,2,FALSE),"")</f>
      </c>
    </row>
    <row r="36" spans="1:4" ht="12.75" hidden="1">
      <c r="A36" s="7">
        <f>IF(AND(ISNUMBER('Prijava ekipa i izvlačenje br.'!B8)=TRUE,COUNTIF(B36,"kapetan")=1),'Prijava ekipa i izvlačenje br.'!B8,"")</f>
      </c>
      <c r="B36" s="16">
        <f>IF(ISBLANK('Prijava ekipa i izvlačenje br.'!S8)=TRUE,"",IF(OR(EXACT('Prijava ekipa i izvlačenje br.'!D8,'Prijava ekipa i izvlačenje br.'!S8),EXACT('Prijava ekipa i izvlačenje br.'!G8,'Prijava ekipa i izvlačenje br.'!S8),EXACT('Prijava ekipa i izvlačenje br.'!J8,'Prijava ekipa i izvlačenje br.'!S8),EXACT('Prijava ekipa i izvlačenje br.'!M8,'Prijava ekipa i izvlačenje br.'!S8),EXACT('Prijava ekipa i izvlačenje br.'!P8,'Prijava ekipa i izvlačenje br.'!S8)=TRUE),"","kapetan"))</f>
      </c>
      <c r="C36" s="6">
        <f>IF(AND(ISTEXT('Prijava ekipa i izvlačenje br.'!S7)=TRUE,COUNTIF(B36,"kapetan")=1),VLOOKUP(A36,'Prijava ekipa i izvlačenje br.'!B$2:S$36,18,FALSE),"")</f>
      </c>
      <c r="D36" s="17">
        <f>IF(AND(ISTEXT('Prijava ekipa i izvlačenje br.'!C7)=TRUE,COUNTIF(B36,"kapetan")=1),VLOOKUP(A36,'Prijava ekipa i izvlačenje br.'!B$2:S$36,2,FALSE),"")</f>
      </c>
    </row>
    <row r="37" spans="1:4" ht="12.75" hidden="1">
      <c r="A37" s="7">
        <f>IF(AND(ISNUMBER('Prijava ekipa i izvlačenje br.'!B11)=TRUE,COUNTIF(B37,"kapetan")=1),'Prijava ekipa i izvlačenje br.'!B11,"")</f>
      </c>
      <c r="B37" s="16">
        <f>IF(ISBLANK('Prijava ekipa i izvlačenje br.'!S11)=TRUE,"",IF(OR(EXACT('Prijava ekipa i izvlačenje br.'!D11,'Prijava ekipa i izvlačenje br.'!S11),EXACT('Prijava ekipa i izvlačenje br.'!G11,'Prijava ekipa i izvlačenje br.'!S11),EXACT('Prijava ekipa i izvlačenje br.'!J11,'Prijava ekipa i izvlačenje br.'!S11),EXACT('Prijava ekipa i izvlačenje br.'!M11,'Prijava ekipa i izvlačenje br.'!S11),EXACT('Prijava ekipa i izvlačenje br.'!P11,'Prijava ekipa i izvlačenje br.'!S11)=TRUE),"","kapetan"))</f>
      </c>
      <c r="C37" s="6">
        <f>IF(AND(ISTEXT('Prijava ekipa i izvlačenje br.'!S10)=TRUE,COUNTIF(B37,"kapetan")=1),VLOOKUP(A37,'Prijava ekipa i izvlačenje br.'!B$2:S$36,18,FALSE),"")</f>
      </c>
      <c r="D37" s="17">
        <f>IF(AND(ISTEXT('Prijava ekipa i izvlačenje br.'!C10)=TRUE,COUNTIF(B37,"kapetan")=1),VLOOKUP(A37,'Prijava ekipa i izvlačenje br.'!B$2:S$36,2,FALSE),"")</f>
      </c>
    </row>
    <row r="38" ht="12.75" hidden="1"/>
    <row r="39" ht="12.75" hidden="1"/>
    <row r="40" ht="12.75" hidden="1"/>
    <row r="56" ht="12.75"/>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23"/>
  </sheetPr>
  <dimension ref="A1:L72"/>
  <sheetViews>
    <sheetView showRowColHeaders="0" zoomScalePageLayoutView="0" workbookViewId="0" topLeftCell="A1">
      <selection activeCell="L17" sqref="L17"/>
    </sheetView>
  </sheetViews>
  <sheetFormatPr defaultColWidth="9.140625" defaultRowHeight="12.75"/>
  <cols>
    <col min="1" max="1" width="2.7109375" style="6" customWidth="1"/>
    <col min="2" max="2" width="7.00390625" style="6" customWidth="1"/>
    <col min="3" max="3" width="13.7109375" style="6" customWidth="1"/>
    <col min="4" max="4" width="10.7109375" style="6" customWidth="1"/>
    <col min="5" max="5" width="8.57421875" style="6" customWidth="1"/>
    <col min="6" max="6" width="8.00390625" style="6" customWidth="1"/>
    <col min="7" max="7" width="9.00390625" style="6" customWidth="1"/>
    <col min="8" max="8" width="13.28125" style="6" customWidth="1"/>
    <col min="9" max="9" width="8.57421875" style="6" customWidth="1"/>
    <col min="10" max="16384" width="9.140625" style="6" customWidth="1"/>
  </cols>
  <sheetData>
    <row r="1" spans="1:9" ht="12.75">
      <c r="A1" s="250" t="s">
        <v>172</v>
      </c>
      <c r="B1" s="308"/>
      <c r="C1" s="251"/>
      <c r="D1" s="301">
        <f>IF(ISNONTEXT('Organizacija natjecanja'!$H$2)=TRUE,"",'Organizacija natjecanja'!$H$2)</f>
      </c>
      <c r="E1" s="253"/>
      <c r="F1" s="254"/>
      <c r="G1" s="254"/>
      <c r="H1" s="308"/>
      <c r="I1" s="368"/>
    </row>
    <row r="2" spans="1:9" ht="12.75">
      <c r="A2" s="256" t="s">
        <v>173</v>
      </c>
      <c r="B2" s="310"/>
      <c r="C2" s="257"/>
      <c r="D2" s="302">
        <f>IF(ISNONTEXT('Organizacija natjecanja'!$H$5)=TRUE,"",'Organizacija natjecanja'!$H$5)</f>
      </c>
      <c r="E2" s="259"/>
      <c r="F2" s="258"/>
      <c r="G2" s="261"/>
      <c r="H2" s="310"/>
      <c r="I2" s="369"/>
    </row>
    <row r="3" spans="1:9" ht="12.75">
      <c r="A3" s="256" t="s">
        <v>174</v>
      </c>
      <c r="B3" s="310"/>
      <c r="C3" s="257"/>
      <c r="D3" s="261">
        <f>IF(ISNONTEXT('Organizacija natjecanja'!$H$7)=TRUE,"",'Organizacija natjecanja'!$H$7)</f>
      </c>
      <c r="E3" s="262"/>
      <c r="F3" s="263"/>
      <c r="G3" s="263"/>
      <c r="H3" s="310"/>
      <c r="I3" s="369"/>
    </row>
    <row r="4" spans="1:9" ht="12.75">
      <c r="A4" s="256" t="s">
        <v>175</v>
      </c>
      <c r="B4" s="310"/>
      <c r="C4" s="257"/>
      <c r="D4" s="261">
        <f>IF(ISNONTEXT('Organizacija natjecanja'!$H$13)=TRUE,"",'Organizacija natjecanja'!$H$13)</f>
      </c>
      <c r="E4" s="262"/>
      <c r="F4" s="263"/>
      <c r="G4" s="263"/>
      <c r="H4" s="310"/>
      <c r="I4" s="369"/>
    </row>
    <row r="5" spans="1:10" ht="12.75">
      <c r="A5" s="256" t="s">
        <v>176</v>
      </c>
      <c r="B5" s="310"/>
      <c r="C5" s="257"/>
      <c r="D5" s="261">
        <f>IF(ISNONTEXT('Organizacija natjecanja'!$H$4)=TRUE,"",'Organizacija natjecanja'!$H$4)</f>
      </c>
      <c r="E5" s="262"/>
      <c r="F5" s="263"/>
      <c r="G5" s="263"/>
      <c r="H5" s="310"/>
      <c r="I5" s="369"/>
      <c r="J5" s="8"/>
    </row>
    <row r="6" spans="1:9" ht="12.75">
      <c r="A6" s="256"/>
      <c r="B6" s="310"/>
      <c r="C6" s="257"/>
      <c r="D6" s="261"/>
      <c r="E6" s="262"/>
      <c r="F6" s="263"/>
      <c r="G6" s="263"/>
      <c r="H6" s="310"/>
      <c r="I6" s="369"/>
    </row>
    <row r="7" spans="1:9" ht="14.25" customHeight="1">
      <c r="A7" s="265" t="s">
        <v>29</v>
      </c>
      <c r="B7" s="313"/>
      <c r="C7" s="266"/>
      <c r="D7" s="267">
        <f>IF(ISBLANK('Organizacija natjecanja'!$H$9)=TRUE,"",'Organizacija natjecanja'!$H$9)</f>
      </c>
      <c r="E7" s="268"/>
      <c r="F7" s="269"/>
      <c r="G7" s="269"/>
      <c r="H7" s="313"/>
      <c r="I7" s="370"/>
    </row>
    <row r="8" spans="1:9" ht="12.75">
      <c r="A8" s="378"/>
      <c r="B8" s="8"/>
      <c r="C8" s="289"/>
      <c r="D8" s="290"/>
      <c r="E8" s="291"/>
      <c r="F8" s="292"/>
      <c r="G8" s="292"/>
      <c r="H8" s="8"/>
      <c r="I8" s="8"/>
    </row>
    <row r="9" spans="1:9" ht="12.75">
      <c r="A9" s="379"/>
      <c r="B9" s="308"/>
      <c r="C9" s="251"/>
      <c r="D9" s="252"/>
      <c r="E9" s="253"/>
      <c r="F9" s="254"/>
      <c r="G9" s="254"/>
      <c r="H9" s="308"/>
      <c r="I9" s="368"/>
    </row>
    <row r="10" spans="1:9" ht="12.75">
      <c r="A10" s="371" t="s">
        <v>31</v>
      </c>
      <c r="B10" s="310"/>
      <c r="C10" s="310"/>
      <c r="D10" s="310"/>
      <c r="E10" s="310"/>
      <c r="F10" s="310"/>
      <c r="G10" s="310"/>
      <c r="H10" s="310"/>
      <c r="I10" s="369"/>
    </row>
    <row r="11" spans="1:9" ht="12.75">
      <c r="A11" s="371" t="s">
        <v>32</v>
      </c>
      <c r="B11" s="310"/>
      <c r="C11" s="310"/>
      <c r="D11" s="310"/>
      <c r="E11" s="310"/>
      <c r="F11" s="310"/>
      <c r="G11" s="310"/>
      <c r="H11" s="310"/>
      <c r="I11" s="369"/>
    </row>
    <row r="12" spans="1:9" ht="12.75">
      <c r="A12" s="371" t="s">
        <v>33</v>
      </c>
      <c r="B12" s="310"/>
      <c r="C12" s="310"/>
      <c r="D12" s="310"/>
      <c r="E12" s="310"/>
      <c r="F12" s="310"/>
      <c r="G12" s="310"/>
      <c r="H12" s="310"/>
      <c r="I12" s="369"/>
    </row>
    <row r="13" spans="1:9" ht="12.75">
      <c r="A13" s="371" t="s">
        <v>34</v>
      </c>
      <c r="B13" s="310"/>
      <c r="C13" s="310"/>
      <c r="D13" s="310"/>
      <c r="E13" s="310"/>
      <c r="F13" s="310"/>
      <c r="G13" s="310"/>
      <c r="H13" s="310"/>
      <c r="I13" s="369"/>
    </row>
    <row r="14" spans="1:9" ht="12.75">
      <c r="A14" s="371" t="s">
        <v>35</v>
      </c>
      <c r="B14" s="310"/>
      <c r="C14" s="310"/>
      <c r="D14" s="310"/>
      <c r="E14" s="310"/>
      <c r="F14" s="310"/>
      <c r="G14" s="310"/>
      <c r="H14" s="310"/>
      <c r="I14" s="369"/>
    </row>
    <row r="15" spans="1:9" ht="12.75">
      <c r="A15" s="371" t="s">
        <v>36</v>
      </c>
      <c r="B15" s="310"/>
      <c r="C15" s="310"/>
      <c r="D15" s="310"/>
      <c r="E15" s="310"/>
      <c r="F15" s="310"/>
      <c r="G15" s="310"/>
      <c r="H15" s="310"/>
      <c r="I15" s="369"/>
    </row>
    <row r="16" spans="1:12" ht="12.75">
      <c r="A16" s="371"/>
      <c r="B16" s="310"/>
      <c r="C16" s="310"/>
      <c r="D16" s="310"/>
      <c r="E16" s="310"/>
      <c r="F16" s="310"/>
      <c r="G16" s="310"/>
      <c r="H16" s="310"/>
      <c r="I16" s="369"/>
      <c r="L16" s="8"/>
    </row>
    <row r="17" spans="1:9" ht="12.75">
      <c r="A17" s="371"/>
      <c r="B17" s="310"/>
      <c r="C17" s="310"/>
      <c r="D17" s="310"/>
      <c r="E17" s="310"/>
      <c r="F17" s="310"/>
      <c r="G17" s="310"/>
      <c r="H17" s="310"/>
      <c r="I17" s="369"/>
    </row>
    <row r="18" spans="1:9" ht="12.75">
      <c r="A18" s="371"/>
      <c r="B18" s="310"/>
      <c r="C18" s="310"/>
      <c r="D18" s="310"/>
      <c r="E18" s="310"/>
      <c r="F18" s="310"/>
      <c r="G18" s="310"/>
      <c r="H18" s="310"/>
      <c r="I18" s="369"/>
    </row>
    <row r="19" spans="1:9" ht="12.75">
      <c r="A19" s="371"/>
      <c r="B19" s="310"/>
      <c r="C19" s="310"/>
      <c r="D19" s="310"/>
      <c r="E19" s="310"/>
      <c r="F19" s="310"/>
      <c r="G19" s="310"/>
      <c r="H19" s="310"/>
      <c r="I19" s="369"/>
    </row>
    <row r="20" spans="1:9" ht="12.75">
      <c r="A20" s="280" t="s">
        <v>37</v>
      </c>
      <c r="B20" s="469">
        <f>IF(ISBLANK('Organizacija natjecanja'!H18)=TRUE,"",'Organizacija natjecanja'!H18)</f>
      </c>
      <c r="C20" s="469"/>
      <c r="D20" s="310" t="str">
        <f>'Organizacija natjecanja'!E7</f>
        <v>Organizator natjecanja:</v>
      </c>
      <c r="E20" s="310"/>
      <c r="F20" s="471">
        <f>IF(ISBLANK('Organizacija natjecanja'!H7)=TRUE,"",'Organizacija natjecanja'!H7)</f>
      </c>
      <c r="G20" s="471"/>
      <c r="H20" s="310" t="s">
        <v>197</v>
      </c>
      <c r="I20" s="369"/>
    </row>
    <row r="21" spans="1:9" ht="12.75">
      <c r="A21" s="280" t="s">
        <v>39</v>
      </c>
      <c r="B21" s="469">
        <f>IF(ISBLANK('Organizacija natjecanja'!H14)=TRUE,"",'Organizacija natjecanja'!H14)</f>
      </c>
      <c r="C21" s="469"/>
      <c r="D21" s="310" t="str">
        <f>'Organizacija natjecanja'!E13</f>
        <v>Domaćin natjecanja:</v>
      </c>
      <c r="E21" s="310"/>
      <c r="F21" s="471">
        <f>IF(ISBLANK('Organizacija natjecanja'!H13)=TRUE,"",'Organizacija natjecanja'!H13)</f>
      </c>
      <c r="G21" s="471"/>
      <c r="H21" s="310" t="s">
        <v>40</v>
      </c>
      <c r="I21" s="369"/>
    </row>
    <row r="22" spans="1:9" ht="12.75">
      <c r="A22" s="280" t="s">
        <v>41</v>
      </c>
      <c r="B22" s="469">
        <f>IF(ISBLANK('Organizacija natjecanja'!H16)=TRUE,"",'Organizacija natjecanja'!H16)</f>
      </c>
      <c r="C22" s="469"/>
      <c r="D22" s="310" t="str">
        <f>'Organizacija natjecanja'!E16</f>
        <v>Vrhovni sudac:</v>
      </c>
      <c r="E22" s="310"/>
      <c r="F22" s="310"/>
      <c r="G22" s="310"/>
      <c r="H22" s="310" t="s">
        <v>40</v>
      </c>
      <c r="I22" s="369"/>
    </row>
    <row r="23" spans="1:9" ht="12.75">
      <c r="A23" s="280" t="s">
        <v>42</v>
      </c>
      <c r="B23" s="469">
        <f>IF(ISNONTEXT('Odabir žirija natjecanja'!B17)=TRUE,"",'Odabir žirija natjecanja'!B17)</f>
      </c>
      <c r="C23" s="469"/>
      <c r="D23" s="470">
        <f>IF(ISNONTEXT('Odabir žirija natjecanja'!C17)=TRUE,"",'Odabir žirija natjecanja'!C17)</f>
      </c>
      <c r="E23" s="470"/>
      <c r="F23" s="372" t="s">
        <v>131</v>
      </c>
      <c r="G23" s="320">
        <f>IF(ISNUMBER('Odabir žirija natjecanja'!F17)=TRUE,'Odabir žirija natjecanja'!F17,"")</f>
      </c>
      <c r="H23" s="310" t="s">
        <v>40</v>
      </c>
      <c r="I23" s="369"/>
    </row>
    <row r="24" spans="1:9" ht="12.75">
      <c r="A24" s="280" t="s">
        <v>43</v>
      </c>
      <c r="B24" s="469">
        <f>IF(ISNONTEXT('Odabir žirija natjecanja'!B18)=TRUE,"",'Odabir žirija natjecanja'!B18)</f>
      </c>
      <c r="C24" s="469"/>
      <c r="D24" s="470">
        <f>IF(ISNONTEXT('Odabir žirija natjecanja'!C18)=TRUE,"",'Odabir žirija natjecanja'!C18)</f>
      </c>
      <c r="E24" s="470"/>
      <c r="F24" s="372" t="s">
        <v>131</v>
      </c>
      <c r="G24" s="320">
        <f>IF(ISNUMBER('Odabir žirija natjecanja'!F18)=TRUE,'Odabir žirija natjecanja'!F18,"")</f>
      </c>
      <c r="H24" s="310" t="s">
        <v>40</v>
      </c>
      <c r="I24" s="369"/>
    </row>
    <row r="25" spans="1:9" ht="12.75">
      <c r="A25" s="280" t="s">
        <v>44</v>
      </c>
      <c r="B25" s="469">
        <f>IF(ISNONTEXT('Odabir žirija natjecanja'!B19)=TRUE,"",'Odabir žirija natjecanja'!B19)</f>
      </c>
      <c r="C25" s="469"/>
      <c r="D25" s="470">
        <f>IF(ISNONTEXT('Odabir žirija natjecanja'!C19)=TRUE,"",'Odabir žirija natjecanja'!C19)</f>
      </c>
      <c r="E25" s="470"/>
      <c r="F25" s="372" t="s">
        <v>131</v>
      </c>
      <c r="G25" s="320">
        <f>IF(ISNUMBER('Odabir žirija natjecanja'!F19)=TRUE,'Odabir žirija natjecanja'!F19,"")</f>
      </c>
      <c r="H25" s="310" t="s">
        <v>40</v>
      </c>
      <c r="I25" s="369"/>
    </row>
    <row r="26" spans="1:9" ht="12.75">
      <c r="A26" s="280" t="s">
        <v>45</v>
      </c>
      <c r="B26" s="469">
        <f>IF(ISNONTEXT('Odabir žirija natjecanja'!B20)=TRUE,"",'Odabir žirija natjecanja'!B20)</f>
      </c>
      <c r="C26" s="469"/>
      <c r="D26" s="470">
        <f>IF(ISNONTEXT('Odabir žirija natjecanja'!C20)=TRUE,"",'Odabir žirija natjecanja'!C20)</f>
      </c>
      <c r="E26" s="470"/>
      <c r="F26" s="372" t="s">
        <v>131</v>
      </c>
      <c r="G26" s="320">
        <f>IF(ISNUMBER('Odabir žirija natjecanja'!F20)=TRUE,'Odabir žirija natjecanja'!F20,"")</f>
      </c>
      <c r="H26" s="310" t="s">
        <v>40</v>
      </c>
      <c r="I26" s="369"/>
    </row>
    <row r="27" spans="1:9" ht="12.75">
      <c r="A27" s="371"/>
      <c r="B27" s="310"/>
      <c r="C27" s="372"/>
      <c r="D27" s="372"/>
      <c r="E27" s="372"/>
      <c r="F27" s="372"/>
      <c r="G27" s="372"/>
      <c r="H27" s="310"/>
      <c r="I27" s="369"/>
    </row>
    <row r="28" spans="1:9" ht="12.75">
      <c r="A28" s="371"/>
      <c r="B28" s="310"/>
      <c r="C28" s="310"/>
      <c r="D28" s="310"/>
      <c r="E28" s="310"/>
      <c r="F28" s="310"/>
      <c r="G28" s="310"/>
      <c r="H28" s="310"/>
      <c r="I28" s="369"/>
    </row>
    <row r="29" spans="1:9" ht="12.75">
      <c r="A29" s="371"/>
      <c r="B29" s="373"/>
      <c r="C29" s="374"/>
      <c r="D29" s="374"/>
      <c r="E29" s="374"/>
      <c r="F29" s="374"/>
      <c r="G29" s="374"/>
      <c r="H29" s="374"/>
      <c r="I29" s="369"/>
    </row>
    <row r="30" spans="1:9" ht="12.75">
      <c r="A30" s="371"/>
      <c r="B30" s="310"/>
      <c r="C30" s="310"/>
      <c r="D30" s="310"/>
      <c r="E30" s="310"/>
      <c r="F30" s="310"/>
      <c r="G30" s="310"/>
      <c r="H30" s="310"/>
      <c r="I30" s="369"/>
    </row>
    <row r="31" spans="1:9" ht="45" hidden="1">
      <c r="A31" s="371"/>
      <c r="B31" s="375" t="s">
        <v>19</v>
      </c>
      <c r="C31" s="257" t="s">
        <v>46</v>
      </c>
      <c r="D31" s="376" t="s">
        <v>47</v>
      </c>
      <c r="E31" s="376" t="s">
        <v>20</v>
      </c>
      <c r="F31" s="310"/>
      <c r="G31" s="310"/>
      <c r="H31" s="310"/>
      <c r="I31" s="369"/>
    </row>
    <row r="32" spans="1:9" ht="12.75" hidden="1">
      <c r="A32" s="371"/>
      <c r="B32" s="327">
        <f>IF(ISNUMBER('Odabir žirija natjecanja'!A26)=FALSE,"",'Odabir žirija natjecanja'!A26)</f>
      </c>
      <c r="C32" s="298">
        <f>IF(ISNONTEXT('Odabir žirija natjecanja'!B26)=TRUE,"",'Odabir žirija natjecanja'!B26)</f>
      </c>
      <c r="D32" s="298">
        <f>IF(ISNONTEXT('Odabir žirija natjecanja'!C26)=TRUE,"",'Odabir žirija natjecanja'!C26)</f>
      </c>
      <c r="E32" s="298">
        <f>IF(ISNONTEXT('Odabir žirija natjecanja'!D26)=TRUE,"",'Odabir žirija natjecanja'!D26)</f>
      </c>
      <c r="F32" s="310"/>
      <c r="G32" s="310"/>
      <c r="H32" s="310"/>
      <c r="I32" s="369"/>
    </row>
    <row r="33" spans="1:9" ht="12.75" hidden="1">
      <c r="A33" s="371"/>
      <c r="B33" s="327">
        <f>IF(ISNUMBER('Odabir žirija natjecanja'!A27)=FALSE,"",'Odabir žirija natjecanja'!A27)</f>
      </c>
      <c r="C33" s="298">
        <f>IF(ISNONTEXT('Odabir žirija natjecanja'!B27)=TRUE,"",'Odabir žirija natjecanja'!B27)</f>
      </c>
      <c r="D33" s="298">
        <f>IF(ISNONTEXT('Odabir žirija natjecanja'!C27)=TRUE,"",'Odabir žirija natjecanja'!C27)</f>
      </c>
      <c r="E33" s="298">
        <f>IF(ISNONTEXT('Odabir žirija natjecanja'!D27)=TRUE,"",'Odabir žirija natjecanja'!D27)</f>
      </c>
      <c r="F33" s="310"/>
      <c r="G33" s="310"/>
      <c r="H33" s="310"/>
      <c r="I33" s="369"/>
    </row>
    <row r="34" spans="1:9" ht="12.75" hidden="1">
      <c r="A34" s="371"/>
      <c r="B34" s="327">
        <f>IF(ISNUMBER('Odabir žirija natjecanja'!A28)=FALSE,"",'Odabir žirija natjecanja'!A28)</f>
      </c>
      <c r="C34" s="298">
        <f>IF(ISNONTEXT('Odabir žirija natjecanja'!B28)=TRUE,"",'Odabir žirija natjecanja'!B28)</f>
      </c>
      <c r="D34" s="298">
        <f>IF(ISNONTEXT('Odabir žirija natjecanja'!C28)=TRUE,"",'Odabir žirija natjecanja'!C28)</f>
      </c>
      <c r="E34" s="298">
        <f>IF(ISNONTEXT('Odabir žirija natjecanja'!D28)=TRUE,"",'Odabir žirija natjecanja'!D28)</f>
      </c>
      <c r="F34" s="310"/>
      <c r="G34" s="310"/>
      <c r="H34" s="310"/>
      <c r="I34" s="369"/>
    </row>
    <row r="35" spans="1:9" ht="12.75" hidden="1">
      <c r="A35" s="371"/>
      <c r="B35" s="327">
        <f>IF(ISNUMBER('Odabir žirija natjecanja'!A29)=FALSE,"",'Odabir žirija natjecanja'!A29)</f>
      </c>
      <c r="C35" s="298">
        <f>IF(ISNONTEXT('Odabir žirija natjecanja'!B29)=TRUE,"",'Odabir žirija natjecanja'!B29)</f>
      </c>
      <c r="D35" s="298">
        <f>IF(ISNONTEXT('Odabir žirija natjecanja'!C29)=TRUE,"",'Odabir žirija natjecanja'!C29)</f>
      </c>
      <c r="E35" s="298">
        <f>IF(ISNONTEXT('Odabir žirija natjecanja'!D29)=TRUE,"",'Odabir žirija natjecanja'!D29)</f>
      </c>
      <c r="F35" s="310"/>
      <c r="G35" s="310"/>
      <c r="H35" s="310"/>
      <c r="I35" s="369"/>
    </row>
    <row r="36" spans="1:9" ht="12.75" hidden="1">
      <c r="A36" s="371"/>
      <c r="B36" s="327">
        <f>IF(ISNUMBER('Odabir žirija natjecanja'!A30)=FALSE,"",'Odabir žirija natjecanja'!A30)</f>
      </c>
      <c r="C36" s="298">
        <f>IF(ISNONTEXT('Odabir žirija natjecanja'!B30)=TRUE,"",'Odabir žirija natjecanja'!B30)</f>
      </c>
      <c r="D36" s="298">
        <f>IF(ISNONTEXT('Odabir žirija natjecanja'!C30)=TRUE,"",'Odabir žirija natjecanja'!C30)</f>
      </c>
      <c r="E36" s="298">
        <f>IF(ISNONTEXT('Odabir žirija natjecanja'!D30)=TRUE,"",'Odabir žirija natjecanja'!D30)</f>
      </c>
      <c r="F36" s="310"/>
      <c r="G36" s="310"/>
      <c r="H36" s="310"/>
      <c r="I36" s="369"/>
    </row>
    <row r="37" spans="1:9" ht="12.75" hidden="1">
      <c r="A37" s="371"/>
      <c r="B37" s="327">
        <f>IF(ISNUMBER('Odabir žirija natjecanja'!A31)=FALSE,"",'Odabir žirija natjecanja'!A31)</f>
      </c>
      <c r="C37" s="298">
        <f>IF(ISNONTEXT('Odabir žirija natjecanja'!B31)=TRUE,"",'Odabir žirija natjecanja'!B31)</f>
      </c>
      <c r="D37" s="298">
        <f>IF(ISNONTEXT('Odabir žirija natjecanja'!C31)=TRUE,"",'Odabir žirija natjecanja'!C31)</f>
      </c>
      <c r="E37" s="298">
        <f>IF(ISNONTEXT('Odabir žirija natjecanja'!D31)=TRUE,"",'Odabir žirija natjecanja'!D31)</f>
      </c>
      <c r="F37" s="310"/>
      <c r="G37" s="310"/>
      <c r="H37" s="310"/>
      <c r="I37" s="369"/>
    </row>
    <row r="38" spans="1:9" ht="12.75" hidden="1">
      <c r="A38" s="371"/>
      <c r="B38" s="327">
        <f>IF(ISNUMBER('Odabir žirija natjecanja'!A32)=FALSE,"",'Odabir žirija natjecanja'!A32)</f>
      </c>
      <c r="C38" s="298">
        <f>IF(ISNONTEXT('Odabir žirija natjecanja'!B32)=TRUE,"",'Odabir žirija natjecanja'!B32)</f>
      </c>
      <c r="D38" s="298">
        <f>IF(ISNONTEXT('Odabir žirija natjecanja'!C32)=TRUE,"",'Odabir žirija natjecanja'!C32)</f>
      </c>
      <c r="E38" s="298">
        <f>IF(ISNONTEXT('Odabir žirija natjecanja'!D32)=TRUE,"",'Odabir žirija natjecanja'!D32)</f>
      </c>
      <c r="F38" s="310"/>
      <c r="G38" s="310"/>
      <c r="H38" s="310"/>
      <c r="I38" s="369"/>
    </row>
    <row r="39" spans="1:9" ht="12.75" hidden="1">
      <c r="A39" s="371"/>
      <c r="B39" s="327">
        <f>IF(ISNUMBER('Odabir žirija natjecanja'!A33)=FALSE,"",'Odabir žirija natjecanja'!A33)</f>
      </c>
      <c r="C39" s="298">
        <f>IF(ISNONTEXT('Odabir žirija natjecanja'!B33)=TRUE,"",'Odabir žirija natjecanja'!B33)</f>
      </c>
      <c r="D39" s="298">
        <f>IF(ISNONTEXT('Odabir žirija natjecanja'!C33)=TRUE,"",'Odabir žirija natjecanja'!C33)</f>
      </c>
      <c r="E39" s="298">
        <f>IF(ISNONTEXT('Odabir žirija natjecanja'!D33)=TRUE,"",'Odabir žirija natjecanja'!D33)</f>
      </c>
      <c r="F39" s="310"/>
      <c r="G39" s="310"/>
      <c r="H39" s="310"/>
      <c r="I39" s="369"/>
    </row>
    <row r="40" spans="1:9" ht="12.75" hidden="1">
      <c r="A40" s="371"/>
      <c r="B40" s="327">
        <f>IF(ISNUMBER('Odabir žirija natjecanja'!A34)=FALSE,"",'Odabir žirija natjecanja'!A34)</f>
      </c>
      <c r="C40" s="298">
        <f>IF(ISNONTEXT('Odabir žirija natjecanja'!B34)=TRUE,"",'Odabir žirija natjecanja'!B34)</f>
      </c>
      <c r="D40" s="298">
        <f>IF(ISNONTEXT('Odabir žirija natjecanja'!C34)=TRUE,"",'Odabir žirija natjecanja'!C34)</f>
      </c>
      <c r="E40" s="298">
        <f>IF(ISNONTEXT('Odabir žirija natjecanja'!D34)=TRUE,"",'Odabir žirija natjecanja'!D34)</f>
      </c>
      <c r="F40" s="310"/>
      <c r="G40" s="310"/>
      <c r="H40" s="310"/>
      <c r="I40" s="369"/>
    </row>
    <row r="41" spans="1:9" ht="12.75" hidden="1">
      <c r="A41" s="371"/>
      <c r="B41" s="327">
        <f>IF(ISNUMBER('Odabir žirija natjecanja'!A35)=FALSE,"",'Odabir žirija natjecanja'!A35)</f>
      </c>
      <c r="C41" s="298">
        <f>IF(ISNONTEXT('Odabir žirija natjecanja'!B35)=TRUE,"",'Odabir žirija natjecanja'!B35)</f>
      </c>
      <c r="D41" s="298">
        <f>IF(ISNONTEXT('Odabir žirija natjecanja'!C35)=TRUE,"",'Odabir žirija natjecanja'!C35)</f>
      </c>
      <c r="E41" s="298">
        <f>IF(ISNONTEXT('Odabir žirija natjecanja'!D35)=TRUE,"",'Odabir žirija natjecanja'!D35)</f>
      </c>
      <c r="F41" s="310"/>
      <c r="G41" s="310"/>
      <c r="H41" s="310"/>
      <c r="I41" s="369"/>
    </row>
    <row r="42" spans="1:9" ht="12.75" hidden="1">
      <c r="A42" s="371"/>
      <c r="B42" s="327">
        <f>IF(ISNUMBER('Odabir žirija natjecanja'!A36)=FALSE,"",'Odabir žirija natjecanja'!A36)</f>
      </c>
      <c r="C42" s="298">
        <f>IF(ISNONTEXT('Odabir žirija natjecanja'!B36)=TRUE,"",'Odabir žirija natjecanja'!B36)</f>
      </c>
      <c r="D42" s="298">
        <f>IF(ISNONTEXT('Odabir žirija natjecanja'!C36)=TRUE,"",'Odabir žirija natjecanja'!C36)</f>
      </c>
      <c r="E42" s="298">
        <f>IF(ISNONTEXT('Odabir žirija natjecanja'!D36)=TRUE,"",'Odabir žirija natjecanja'!D36)</f>
      </c>
      <c r="F42" s="310"/>
      <c r="G42" s="310"/>
      <c r="H42" s="310"/>
      <c r="I42" s="369"/>
    </row>
    <row r="43" spans="1:9" ht="12.75" hidden="1">
      <c r="A43" s="371"/>
      <c r="B43" s="327">
        <f>IF(ISNUMBER('Odabir žirija natjecanja'!A37)=FALSE,"",'Odabir žirija natjecanja'!A37)</f>
      </c>
      <c r="C43" s="298">
        <f>IF(ISNONTEXT('Odabir žirija natjecanja'!B37)=TRUE,"",'Odabir žirija natjecanja'!B37)</f>
      </c>
      <c r="D43" s="298">
        <f>IF(ISNONTEXT('Odabir žirija natjecanja'!C37)=TRUE,"",'Odabir žirija natjecanja'!C37)</f>
      </c>
      <c r="E43" s="298">
        <f>IF(ISNONTEXT('Odabir žirija natjecanja'!D37)=TRUE,"",'Odabir žirija natjecanja'!D37)</f>
      </c>
      <c r="F43" s="310"/>
      <c r="G43" s="310"/>
      <c r="H43" s="310"/>
      <c r="I43" s="369"/>
    </row>
    <row r="44" spans="1:9" ht="12.75" hidden="1">
      <c r="A44" s="371"/>
      <c r="B44" s="310"/>
      <c r="C44" s="310"/>
      <c r="D44" s="310"/>
      <c r="E44" s="310"/>
      <c r="F44" s="310"/>
      <c r="G44" s="310"/>
      <c r="H44" s="310"/>
      <c r="I44" s="369"/>
    </row>
    <row r="45" spans="1:9" ht="12.75" hidden="1">
      <c r="A45" s="371"/>
      <c r="B45" s="310"/>
      <c r="C45" s="310"/>
      <c r="D45" s="310"/>
      <c r="E45" s="310"/>
      <c r="F45" s="310"/>
      <c r="G45" s="310"/>
      <c r="H45" s="310"/>
      <c r="I45" s="369"/>
    </row>
    <row r="46" spans="1:9" ht="12.75" hidden="1">
      <c r="A46" s="371"/>
      <c r="B46" s="310"/>
      <c r="C46" s="310"/>
      <c r="D46" s="310"/>
      <c r="E46" s="310"/>
      <c r="F46" s="310"/>
      <c r="G46" s="310"/>
      <c r="H46" s="310"/>
      <c r="I46" s="369"/>
    </row>
    <row r="47" spans="1:9" ht="12.75">
      <c r="A47" s="371"/>
      <c r="B47" s="310"/>
      <c r="C47" s="310"/>
      <c r="D47" s="310"/>
      <c r="E47" s="310"/>
      <c r="F47" s="310"/>
      <c r="G47" s="310"/>
      <c r="H47" s="310"/>
      <c r="I47" s="369"/>
    </row>
    <row r="48" spans="1:9" ht="12.75">
      <c r="A48" s="371"/>
      <c r="B48" s="310"/>
      <c r="C48" s="310"/>
      <c r="D48" s="310"/>
      <c r="E48" s="310"/>
      <c r="F48" s="310"/>
      <c r="G48" s="310"/>
      <c r="H48" s="310"/>
      <c r="I48" s="369"/>
    </row>
    <row r="49" spans="1:9" ht="12.75">
      <c r="A49" s="371"/>
      <c r="B49" s="310"/>
      <c r="C49" s="310"/>
      <c r="D49" s="310"/>
      <c r="E49" s="310"/>
      <c r="F49" s="310"/>
      <c r="G49" s="310"/>
      <c r="H49" s="310"/>
      <c r="I49" s="369"/>
    </row>
    <row r="50" spans="1:9" ht="12.75">
      <c r="A50" s="371"/>
      <c r="B50" s="310"/>
      <c r="C50" s="310"/>
      <c r="D50" s="310"/>
      <c r="E50" s="310"/>
      <c r="F50" s="310"/>
      <c r="G50" s="310"/>
      <c r="H50" s="310"/>
      <c r="I50" s="369"/>
    </row>
    <row r="51" spans="1:9" ht="12.75">
      <c r="A51" s="371"/>
      <c r="B51" s="310"/>
      <c r="C51" s="310"/>
      <c r="D51" s="310"/>
      <c r="E51" s="310"/>
      <c r="F51" s="310"/>
      <c r="G51" s="310"/>
      <c r="H51" s="310"/>
      <c r="I51" s="369"/>
    </row>
    <row r="52" spans="1:9" ht="12.75">
      <c r="A52" s="371"/>
      <c r="B52" s="310"/>
      <c r="C52" s="310"/>
      <c r="D52" s="310"/>
      <c r="E52" s="310"/>
      <c r="F52" s="310"/>
      <c r="G52" s="310"/>
      <c r="H52" s="310"/>
      <c r="I52" s="369"/>
    </row>
    <row r="53" spans="1:9" ht="12.75">
      <c r="A53" s="371"/>
      <c r="B53" s="310"/>
      <c r="C53" s="310"/>
      <c r="D53" s="310"/>
      <c r="E53" s="310"/>
      <c r="F53" s="310"/>
      <c r="G53" s="310"/>
      <c r="H53" s="310"/>
      <c r="I53" s="369"/>
    </row>
    <row r="54" spans="1:9" ht="12.75">
      <c r="A54" s="371"/>
      <c r="B54" s="310"/>
      <c r="C54" s="310"/>
      <c r="D54" s="310"/>
      <c r="E54" s="310"/>
      <c r="F54" s="310"/>
      <c r="G54" s="310"/>
      <c r="H54" s="310"/>
      <c r="I54" s="369"/>
    </row>
    <row r="55" spans="1:9" ht="12.75">
      <c r="A55" s="371"/>
      <c r="B55" s="310"/>
      <c r="C55" s="310"/>
      <c r="D55" s="310"/>
      <c r="E55" s="310"/>
      <c r="F55" s="310"/>
      <c r="G55" s="310"/>
      <c r="H55" s="310"/>
      <c r="I55" s="369"/>
    </row>
    <row r="56" spans="1:9" ht="12.75">
      <c r="A56" s="371"/>
      <c r="B56" s="310"/>
      <c r="C56" s="310"/>
      <c r="D56" s="310"/>
      <c r="E56" s="310"/>
      <c r="F56" s="310"/>
      <c r="G56" s="310"/>
      <c r="H56" s="310"/>
      <c r="I56" s="369"/>
    </row>
    <row r="57" spans="1:9" ht="12.75">
      <c r="A57" s="371"/>
      <c r="B57" s="310"/>
      <c r="C57" s="310"/>
      <c r="D57" s="310"/>
      <c r="E57" s="310"/>
      <c r="F57" s="310"/>
      <c r="G57" s="310"/>
      <c r="H57" s="310"/>
      <c r="I57" s="369"/>
    </row>
    <row r="58" spans="1:9" ht="12.75">
      <c r="A58" s="371"/>
      <c r="B58" s="310"/>
      <c r="C58" s="310"/>
      <c r="D58" s="310"/>
      <c r="E58" s="310"/>
      <c r="F58" s="310"/>
      <c r="G58" s="310"/>
      <c r="H58" s="310"/>
      <c r="I58" s="369"/>
    </row>
    <row r="59" spans="1:9" ht="12.75">
      <c r="A59" s="371"/>
      <c r="B59" s="310"/>
      <c r="C59" s="310"/>
      <c r="D59" s="310"/>
      <c r="E59" s="310"/>
      <c r="F59" s="310"/>
      <c r="G59" s="310"/>
      <c r="H59" s="310"/>
      <c r="I59" s="369"/>
    </row>
    <row r="60" spans="1:9" ht="12.75">
      <c r="A60" s="371"/>
      <c r="B60" s="310"/>
      <c r="C60" s="310"/>
      <c r="D60" s="310"/>
      <c r="E60" s="310"/>
      <c r="F60" s="310"/>
      <c r="G60" s="310"/>
      <c r="H60" s="310"/>
      <c r="I60" s="369"/>
    </row>
    <row r="61" spans="1:9" ht="12.75">
      <c r="A61" s="371"/>
      <c r="B61" s="310"/>
      <c r="C61" s="310"/>
      <c r="D61" s="310"/>
      <c r="E61" s="310"/>
      <c r="F61" s="310"/>
      <c r="G61" s="310"/>
      <c r="H61" s="310"/>
      <c r="I61" s="369"/>
    </row>
    <row r="62" spans="1:9" ht="12.75">
      <c r="A62" s="371"/>
      <c r="B62" s="310"/>
      <c r="C62" s="310"/>
      <c r="D62" s="310"/>
      <c r="E62" s="310"/>
      <c r="F62" s="310"/>
      <c r="G62" s="310"/>
      <c r="H62" s="310"/>
      <c r="I62" s="369"/>
    </row>
    <row r="63" spans="1:9" ht="12.75">
      <c r="A63" s="371"/>
      <c r="B63" s="310"/>
      <c r="C63" s="310"/>
      <c r="D63" s="310"/>
      <c r="E63" s="310"/>
      <c r="F63" s="310"/>
      <c r="G63" s="310"/>
      <c r="H63" s="310"/>
      <c r="I63" s="369"/>
    </row>
    <row r="64" spans="1:9" ht="12.75">
      <c r="A64" s="371"/>
      <c r="B64" s="310"/>
      <c r="C64" s="310"/>
      <c r="D64" s="310"/>
      <c r="E64" s="310"/>
      <c r="F64" s="310"/>
      <c r="G64" s="310"/>
      <c r="H64" s="310"/>
      <c r="I64" s="369"/>
    </row>
    <row r="65" spans="1:9" ht="12.75">
      <c r="A65" s="371"/>
      <c r="B65" s="310"/>
      <c r="C65" s="310"/>
      <c r="D65" s="310"/>
      <c r="E65" s="310"/>
      <c r="F65" s="310"/>
      <c r="G65" s="310"/>
      <c r="H65" s="310"/>
      <c r="I65" s="369"/>
    </row>
    <row r="66" spans="1:9" ht="12.75">
      <c r="A66" s="371"/>
      <c r="B66" s="310"/>
      <c r="C66" s="310"/>
      <c r="D66" s="310"/>
      <c r="E66" s="310"/>
      <c r="F66" s="310"/>
      <c r="G66" s="310"/>
      <c r="H66" s="310"/>
      <c r="I66" s="369"/>
    </row>
    <row r="67" spans="1:9" ht="12.75">
      <c r="A67" s="371"/>
      <c r="B67" s="310"/>
      <c r="C67" s="310"/>
      <c r="D67" s="310"/>
      <c r="E67" s="310"/>
      <c r="F67" s="310"/>
      <c r="G67" s="310"/>
      <c r="H67" s="310"/>
      <c r="I67" s="369"/>
    </row>
    <row r="68" spans="1:9" ht="12.75">
      <c r="A68" s="371"/>
      <c r="B68" s="310"/>
      <c r="C68" s="310"/>
      <c r="D68" s="310"/>
      <c r="E68" s="310"/>
      <c r="F68" s="310"/>
      <c r="G68" s="310"/>
      <c r="H68" s="310"/>
      <c r="I68" s="369"/>
    </row>
    <row r="69" spans="1:9" ht="12.75">
      <c r="A69" s="371"/>
      <c r="B69" s="310"/>
      <c r="C69" s="310"/>
      <c r="D69" s="310"/>
      <c r="E69" s="310"/>
      <c r="F69" s="310"/>
      <c r="G69" s="310"/>
      <c r="H69" s="310"/>
      <c r="I69" s="369"/>
    </row>
    <row r="70" spans="1:9" ht="12.75">
      <c r="A70" s="371"/>
      <c r="B70" s="310"/>
      <c r="C70" s="310"/>
      <c r="D70" s="310"/>
      <c r="E70" s="310"/>
      <c r="F70" s="310"/>
      <c r="G70" s="310"/>
      <c r="H70" s="310"/>
      <c r="I70" s="369"/>
    </row>
    <row r="71" spans="1:9" ht="12.75">
      <c r="A71" s="371"/>
      <c r="B71" s="310"/>
      <c r="C71" s="310"/>
      <c r="D71" s="310"/>
      <c r="E71" s="310"/>
      <c r="F71" s="310"/>
      <c r="G71" s="310"/>
      <c r="H71" s="310"/>
      <c r="I71" s="369"/>
    </row>
    <row r="72" spans="1:9" ht="12.75">
      <c r="A72" s="377"/>
      <c r="B72" s="313"/>
      <c r="C72" s="313"/>
      <c r="D72" s="313"/>
      <c r="E72" s="313"/>
      <c r="F72" s="313"/>
      <c r="G72" s="313"/>
      <c r="H72" s="313"/>
      <c r="I72" s="370"/>
    </row>
  </sheetData>
  <sheetProtection password="C7E2" sheet="1" objects="1" scenarios="1"/>
  <mergeCells count="13">
    <mergeCell ref="F20:G20"/>
    <mergeCell ref="F21:G21"/>
    <mergeCell ref="B20:C20"/>
    <mergeCell ref="B21:C21"/>
    <mergeCell ref="B22:C22"/>
    <mergeCell ref="B23:C23"/>
    <mergeCell ref="B24:C24"/>
    <mergeCell ref="B25:C25"/>
    <mergeCell ref="B26:C26"/>
    <mergeCell ref="D23:E23"/>
    <mergeCell ref="D24:E24"/>
    <mergeCell ref="D25:E25"/>
    <mergeCell ref="D26:E26"/>
  </mergeCells>
  <printOptions horizontalCentered="1"/>
  <pageMargins left="0.984251968503937" right="0.984251968503937" top="0.7874015748031497" bottom="1.141732283464567" header="0.5118110236220472" footer="0.5118110236220472"/>
  <pageSetup horizontalDpi="300" verticalDpi="300" orientation="portrait" paperSize="9" r:id="rId4"/>
  <headerFooter alignWithMargins="0">
    <oddFooter>&amp;C&amp;"Arial,Kurziv"&amp;12&amp;YProgram za izračun rezultata i provođenje natjecanja</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tabColor indexed="11"/>
  </sheetPr>
  <dimension ref="A2:I336"/>
  <sheetViews>
    <sheetView showGridLines="0" showRowColHeaders="0" zoomScalePageLayoutView="0" workbookViewId="0" topLeftCell="A1">
      <selection activeCell="K21" sqref="K21"/>
    </sheetView>
  </sheetViews>
  <sheetFormatPr defaultColWidth="9.140625" defaultRowHeight="12.75"/>
  <cols>
    <col min="1" max="16384" width="9.140625" style="6" customWidth="1"/>
  </cols>
  <sheetData>
    <row r="2" spans="2:8" ht="15">
      <c r="B2" s="31"/>
      <c r="C2" s="31" t="s">
        <v>60</v>
      </c>
      <c r="H2" s="8"/>
    </row>
    <row r="3" ht="12.75">
      <c r="G3" s="18">
        <f>IF(ISNONTEXT('Organizacija natjecanja'!H5)=TRUE,"",'Organizacija natjecanja'!H5)</f>
      </c>
    </row>
    <row r="4" ht="12.75">
      <c r="G4" s="19" t="s">
        <v>61</v>
      </c>
    </row>
    <row r="5" ht="12.75">
      <c r="H5" s="8"/>
    </row>
    <row r="6" spans="4:8" ht="18">
      <c r="D6" s="32"/>
      <c r="E6" s="32" t="s">
        <v>62</v>
      </c>
      <c r="F6" s="32"/>
      <c r="G6" s="32"/>
      <c r="H6" s="32"/>
    </row>
    <row r="8" spans="5:8" ht="15">
      <c r="E8" s="20">
        <f>IF(ISNONTEXT('Organizacija natjecanja'!H2)=TRUE,"",'Organizacija natjecanja'!H2)</f>
      </c>
      <c r="H8" s="21"/>
    </row>
    <row r="9" spans="4:8" ht="12.75">
      <c r="D9" s="7"/>
      <c r="E9" s="19" t="s">
        <v>63</v>
      </c>
      <c r="F9" s="7"/>
      <c r="G9" s="7"/>
      <c r="H9" s="7"/>
    </row>
    <row r="10" ht="12.75">
      <c r="D10" s="33"/>
    </row>
    <row r="11" spans="2:5" ht="15">
      <c r="B11" s="6" t="s">
        <v>59</v>
      </c>
      <c r="E11" s="98">
        <f>IF(ISNONTEXT('Upis rezultata A sektora'!D2)=TRUE,"",'Upis rezultata A sektora'!D2)</f>
      </c>
    </row>
    <row r="12" ht="12.75">
      <c r="E12" s="18"/>
    </row>
    <row r="13" spans="2:5" ht="12.75">
      <c r="B13" s="6" t="s">
        <v>52</v>
      </c>
      <c r="E13" s="18">
        <f>IF(ISNONTEXT('Organizacija natjecanja'!H9)=TRUE,"",'Organizacija natjecanja'!H9)</f>
      </c>
    </row>
    <row r="15" spans="2:8" s="36" customFormat="1" ht="12">
      <c r="B15" s="34" t="s">
        <v>53</v>
      </c>
      <c r="C15" s="34"/>
      <c r="D15" s="35" t="s">
        <v>54</v>
      </c>
      <c r="E15" s="34"/>
      <c r="F15" s="34" t="s">
        <v>64</v>
      </c>
      <c r="G15" s="35" t="s">
        <v>55</v>
      </c>
      <c r="H15" s="34" t="s">
        <v>65</v>
      </c>
    </row>
    <row r="16" spans="2:8" ht="12.75">
      <c r="B16" s="37"/>
      <c r="C16" s="38"/>
      <c r="D16" s="38"/>
      <c r="E16" s="22"/>
      <c r="F16" s="22"/>
      <c r="G16" s="22"/>
      <c r="H16" s="39"/>
    </row>
    <row r="17" spans="2:8" s="68" customFormat="1" ht="15.75">
      <c r="B17" s="89">
        <f>VLOOKUP(D17,'Upis rezultata A sektora'!$E$2:$I$13,5,0)</f>
        <v>1</v>
      </c>
      <c r="C17" s="90"/>
      <c r="D17" s="96">
        <f>IF(ISNONTEXT('Upis rezultata A sektora'!E2)=TRUE,"",'Upis rezultata A sektora'!E2)</f>
      </c>
      <c r="E17" s="91"/>
      <c r="F17" s="92">
        <f>IF(ISNUMBER('Prijava ekipa i izvlačenje br.'!B2)=FALSE,"",'Prijava ekipa i izvlačenje br.'!B2)</f>
      </c>
      <c r="G17" s="97">
        <f>IF((D17)="","","A")</f>
      </c>
      <c r="H17" s="97">
        <f>IF(ISNUMBER('Upis rezultata A sektora'!C2)=FALSE,"",'Upis rezultata A sektora'!C2)</f>
      </c>
    </row>
    <row r="18" spans="2:8" ht="12.75">
      <c r="B18" s="40"/>
      <c r="C18" s="29"/>
      <c r="D18" s="29"/>
      <c r="E18" s="25"/>
      <c r="F18" s="25"/>
      <c r="G18" s="25"/>
      <c r="H18" s="25"/>
    </row>
    <row r="20" spans="2:8" s="36" customFormat="1" ht="12">
      <c r="B20" s="41"/>
      <c r="C20" s="42" t="s">
        <v>66</v>
      </c>
      <c r="D20" s="43"/>
      <c r="E20" s="44" t="s">
        <v>67</v>
      </c>
      <c r="F20" s="43"/>
      <c r="G20" s="44" t="s">
        <v>68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69</v>
      </c>
      <c r="C25" s="6">
        <f>IF(ISNONTEXT('Organizacija natjecanja'!H22)=TRUE,"",'Organizacija natjecanja'!H22)</f>
      </c>
      <c r="F25" s="6" t="s">
        <v>70</v>
      </c>
    </row>
    <row r="26" ht="12.75">
      <c r="B26" s="7"/>
    </row>
    <row r="27" ht="12.75">
      <c r="B27" s="7"/>
    </row>
    <row r="28" ht="12.75" customHeight="1">
      <c r="B28" s="7"/>
    </row>
    <row r="29" spans="1:9" ht="12.75">
      <c r="A29" s="30"/>
      <c r="B29" s="46"/>
      <c r="C29" s="30"/>
      <c r="D29" s="30"/>
      <c r="E29" s="30"/>
      <c r="F29" s="30"/>
      <c r="G29" s="30"/>
      <c r="H29" s="30"/>
      <c r="I29" s="30"/>
    </row>
    <row r="30" spans="1:9" ht="12.75">
      <c r="A30" s="30"/>
      <c r="B30" s="46"/>
      <c r="C30" s="30"/>
      <c r="D30" s="30"/>
      <c r="E30" s="30"/>
      <c r="F30" s="30"/>
      <c r="G30" s="30"/>
      <c r="H30" s="30"/>
      <c r="I30" s="30"/>
    </row>
    <row r="32" spans="2:3" ht="15">
      <c r="B32" s="31"/>
      <c r="C32" s="31" t="s">
        <v>60</v>
      </c>
    </row>
    <row r="33" ht="12.75">
      <c r="G33" s="18">
        <f>IF(ISNONTEXT('Organizacija natjecanja'!H5)=TRUE,"",'Organizacija natjecanja'!H5)</f>
      </c>
    </row>
    <row r="34" ht="12.75">
      <c r="G34" s="19" t="s">
        <v>61</v>
      </c>
    </row>
    <row r="36" spans="4:8" ht="18">
      <c r="D36" s="32"/>
      <c r="E36" s="32" t="s">
        <v>62</v>
      </c>
      <c r="F36" s="32"/>
      <c r="G36" s="32"/>
      <c r="H36" s="32"/>
    </row>
    <row r="38" spans="5:8" ht="15">
      <c r="E38" s="20">
        <f>IF(ISNONTEXT('Organizacija natjecanja'!H2)=TRUE,"",'Organizacija natjecanja'!H2)</f>
      </c>
      <c r="H38" s="21"/>
    </row>
    <row r="39" spans="4:8" ht="12.75">
      <c r="D39" s="7"/>
      <c r="E39" s="19" t="s">
        <v>63</v>
      </c>
      <c r="F39" s="7"/>
      <c r="G39" s="7"/>
      <c r="H39" s="7"/>
    </row>
    <row r="40" ht="12.75">
      <c r="D40" s="33"/>
    </row>
    <row r="41" spans="2:5" ht="15">
      <c r="B41" s="6" t="s">
        <v>51</v>
      </c>
      <c r="E41" s="20">
        <f>IF(ISNONTEXT('Upis rezultata A sektora'!D3)=TRUE,"",'Upis rezultata A sektora'!D3)</f>
      </c>
    </row>
    <row r="42" ht="12.75">
      <c r="E42" s="18"/>
    </row>
    <row r="43" spans="2:5" ht="12.75">
      <c r="B43" s="6" t="s">
        <v>52</v>
      </c>
      <c r="E43" s="18">
        <f>IF(ISNONTEXT('Organizacija natjecanja'!H9)=TRUE,"",'Organizacija natjecanja'!H9)</f>
      </c>
    </row>
    <row r="45" spans="2:8" s="36" customFormat="1" ht="12">
      <c r="B45" s="34" t="s">
        <v>71</v>
      </c>
      <c r="C45" s="34"/>
      <c r="D45" s="35" t="s">
        <v>54</v>
      </c>
      <c r="E45" s="34"/>
      <c r="F45" s="34" t="s">
        <v>64</v>
      </c>
      <c r="G45" s="35" t="s">
        <v>55</v>
      </c>
      <c r="H45" s="34" t="s">
        <v>65</v>
      </c>
    </row>
    <row r="46" spans="2:8" ht="12.75">
      <c r="B46" s="37"/>
      <c r="C46" s="38"/>
      <c r="D46" s="38"/>
      <c r="E46" s="22"/>
      <c r="F46" s="22"/>
      <c r="G46" s="22"/>
      <c r="H46" s="39"/>
    </row>
    <row r="47" spans="2:8" s="68" customFormat="1" ht="15.75">
      <c r="B47" s="89">
        <f>VLOOKUP(D47,'Upis rezultata A sektora'!$E$2:$I$13,5,0)</f>
        <v>1</v>
      </c>
      <c r="C47" s="90"/>
      <c r="D47" s="96">
        <f>IF(ISNONTEXT('Upis rezultata A sektora'!E3)=TRUE,"",'Upis rezultata A sektora'!E3)</f>
      </c>
      <c r="E47" s="91"/>
      <c r="F47" s="92">
        <f>IF(ISNUMBER('Prijava ekipa i izvlačenje br.'!B3)=FALSE,"",'Prijava ekipa i izvlačenje br.'!B3)</f>
      </c>
      <c r="G47" s="97">
        <f>IF((D47)="","","A")</f>
      </c>
      <c r="H47" s="97">
        <f>IF(ISNUMBER('Upis rezultata A sektora'!C3)=FALSE,"",'Upis rezultata A sektora'!C3)</f>
      </c>
    </row>
    <row r="48" spans="2:8" ht="12.75">
      <c r="B48" s="40"/>
      <c r="C48" s="29"/>
      <c r="D48" s="29"/>
      <c r="E48" s="25"/>
      <c r="F48" s="25"/>
      <c r="G48" s="25"/>
      <c r="H48" s="25"/>
    </row>
    <row r="50" spans="2:8" s="36" customFormat="1" ht="12">
      <c r="B50" s="41"/>
      <c r="C50" s="42" t="s">
        <v>66</v>
      </c>
      <c r="D50" s="43"/>
      <c r="E50" s="44" t="s">
        <v>67</v>
      </c>
      <c r="F50" s="43"/>
      <c r="G50" s="44" t="s">
        <v>68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69</v>
      </c>
      <c r="C55" s="6">
        <f>IF(ISNONTEXT('Organizacija natjecanja'!H22)=TRUE,"",'Organizacija natjecanja'!H22)</f>
      </c>
      <c r="F55" s="6" t="s">
        <v>70</v>
      </c>
    </row>
    <row r="56" ht="12.75">
      <c r="B56" s="7"/>
    </row>
    <row r="57" ht="12.75">
      <c r="B57" s="7"/>
    </row>
    <row r="58" spans="2:3" ht="15">
      <c r="B58" s="31"/>
      <c r="C58" s="31" t="s">
        <v>60</v>
      </c>
    </row>
    <row r="59" ht="12.75">
      <c r="G59" s="18">
        <f>IF(ISNONTEXT('Organizacija natjecanja'!H5)=TRUE,"",'Organizacija natjecanja'!H5)</f>
      </c>
    </row>
    <row r="60" ht="12.75">
      <c r="G60" s="19" t="s">
        <v>61</v>
      </c>
    </row>
    <row r="62" spans="4:8" ht="18">
      <c r="D62" s="32"/>
      <c r="E62" s="32" t="s">
        <v>62</v>
      </c>
      <c r="F62" s="32"/>
      <c r="G62" s="32"/>
      <c r="H62" s="32"/>
    </row>
    <row r="64" spans="5:8" ht="15">
      <c r="E64" s="20">
        <f>IF(ISNONTEXT('Organizacija natjecanja'!H2)=TRUE,"",'Organizacija natjecanja'!H2)</f>
      </c>
      <c r="H64" s="21"/>
    </row>
    <row r="65" spans="4:8" ht="12.75">
      <c r="D65" s="7"/>
      <c r="E65" s="19" t="s">
        <v>63</v>
      </c>
      <c r="F65" s="7"/>
      <c r="G65" s="7"/>
      <c r="H65" s="7"/>
    </row>
    <row r="66" ht="12.75">
      <c r="D66" s="33"/>
    </row>
    <row r="67" spans="2:5" ht="15">
      <c r="B67" s="6" t="s">
        <v>59</v>
      </c>
      <c r="E67" s="20">
        <f>IF(ISNONTEXT('Upis rezultata A sektora'!D4)=TRUE,"",'Upis rezultata A sektora'!D4)</f>
      </c>
    </row>
    <row r="68" ht="12.75">
      <c r="E68" s="18"/>
    </row>
    <row r="69" spans="2:5" ht="12.75">
      <c r="B69" s="6" t="s">
        <v>52</v>
      </c>
      <c r="E69" s="18">
        <f>IF(ISNONTEXT('Organizacija natjecanja'!H9)=TRUE,"",'Organizacija natjecanja'!H9)</f>
      </c>
    </row>
    <row r="71" spans="1:9" ht="12.75">
      <c r="A71" s="36"/>
      <c r="B71" s="34" t="s">
        <v>53</v>
      </c>
      <c r="C71" s="34"/>
      <c r="D71" s="35" t="s">
        <v>54</v>
      </c>
      <c r="E71" s="34"/>
      <c r="F71" s="34" t="s">
        <v>64</v>
      </c>
      <c r="G71" s="35" t="s">
        <v>55</v>
      </c>
      <c r="H71" s="34" t="s">
        <v>65</v>
      </c>
      <c r="I71" s="36"/>
    </row>
    <row r="72" spans="2:8" ht="12.75">
      <c r="B72" s="37"/>
      <c r="C72" s="38"/>
      <c r="D72" s="38"/>
      <c r="E72" s="22"/>
      <c r="F72" s="22"/>
      <c r="G72" s="22"/>
      <c r="H72" s="39"/>
    </row>
    <row r="73" spans="2:8" s="68" customFormat="1" ht="15.75">
      <c r="B73" s="89">
        <f>VLOOKUP(D73,'Upis rezultata A sektora'!$E$2:$I$13,5,0)</f>
        <v>1</v>
      </c>
      <c r="C73" s="90"/>
      <c r="D73" s="96">
        <f>IF(ISNONTEXT('Upis rezultata A sektora'!E4)=TRUE,"",'Upis rezultata A sektora'!E4)</f>
      </c>
      <c r="E73" s="91"/>
      <c r="F73" s="92">
        <f>IF(ISNUMBER('Prijava ekipa i izvlačenje br.'!B4)=FALSE,"",'Prijava ekipa i izvlačenje br.'!B4)</f>
      </c>
      <c r="G73" s="97">
        <f>IF((D73)="","","A")</f>
      </c>
      <c r="H73" s="97">
        <f>IF(ISNUMBER('Upis rezultata A sektora'!C4)=FALSE,"",'Upis rezultata A sektora'!C4)</f>
      </c>
    </row>
    <row r="74" spans="2:8" ht="12.75">
      <c r="B74" s="40"/>
      <c r="C74" s="29"/>
      <c r="D74" s="29"/>
      <c r="E74" s="25"/>
      <c r="F74" s="25"/>
      <c r="G74" s="25"/>
      <c r="H74" s="25"/>
    </row>
    <row r="76" spans="1:9" ht="12.75">
      <c r="A76" s="36"/>
      <c r="B76" s="41"/>
      <c r="C76" s="42" t="s">
        <v>66</v>
      </c>
      <c r="D76" s="43"/>
      <c r="E76" s="44" t="s">
        <v>67</v>
      </c>
      <c r="F76" s="43"/>
      <c r="G76" s="44" t="s">
        <v>68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69</v>
      </c>
      <c r="C81" s="6">
        <f>IF(ISNONTEXT('Organizacija natjecanja'!H22)=TRUE,"",'Organizacija natjecanja'!H22)</f>
      </c>
      <c r="F81" s="6" t="s">
        <v>70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60</v>
      </c>
    </row>
    <row r="89" ht="12.75">
      <c r="G89" s="18">
        <f>IF(ISNONTEXT('Organizacija natjecanja'!H5)=TRUE,"",'Organizacija natjecanja'!H5)</f>
      </c>
    </row>
    <row r="90" ht="12.75">
      <c r="G90" s="19" t="s">
        <v>61</v>
      </c>
    </row>
    <row r="92" spans="4:8" ht="18">
      <c r="D92" s="32"/>
      <c r="E92" s="32" t="s">
        <v>62</v>
      </c>
      <c r="F92" s="32"/>
      <c r="G92" s="32"/>
      <c r="H92" s="32"/>
    </row>
    <row r="94" spans="5:8" ht="15">
      <c r="E94" s="20">
        <f>IF(ISNONTEXT('Organizacija natjecanja'!H2)=TRUE,"",'Organizacija natjecanja'!H2)</f>
      </c>
      <c r="H94" s="21"/>
    </row>
    <row r="95" spans="4:8" ht="12.75">
      <c r="D95" s="7"/>
      <c r="E95" s="19" t="s">
        <v>63</v>
      </c>
      <c r="F95" s="7"/>
      <c r="G95" s="7"/>
      <c r="H95" s="7"/>
    </row>
    <row r="96" ht="12.75">
      <c r="D96" s="33"/>
    </row>
    <row r="97" spans="2:5" ht="15">
      <c r="B97" s="6" t="s">
        <v>51</v>
      </c>
      <c r="E97" s="20">
        <f>IF(ISNONTEXT('Upis rezultata A sektora'!D5)=TRUE,"",'Upis rezultata A sektora'!D5)</f>
      </c>
    </row>
    <row r="98" ht="12.75">
      <c r="E98" s="18"/>
    </row>
    <row r="99" spans="2:5" ht="12.75">
      <c r="B99" s="6" t="s">
        <v>52</v>
      </c>
      <c r="E99" s="18">
        <f>IF(ISNONTEXT('Organizacija natjecanja'!H9)=TRUE,"",'Organizacija natjecanja'!H9)</f>
      </c>
    </row>
    <row r="101" spans="1:9" ht="12.75">
      <c r="A101" s="36"/>
      <c r="B101" s="34" t="s">
        <v>71</v>
      </c>
      <c r="C101" s="34"/>
      <c r="D101" s="35" t="s">
        <v>54</v>
      </c>
      <c r="E101" s="34"/>
      <c r="F101" s="34" t="s">
        <v>64</v>
      </c>
      <c r="G101" s="35" t="s">
        <v>55</v>
      </c>
      <c r="H101" s="34" t="s">
        <v>65</v>
      </c>
      <c r="I101" s="36"/>
    </row>
    <row r="102" spans="2:8" ht="12.75">
      <c r="B102" s="37"/>
      <c r="C102" s="38"/>
      <c r="D102" s="38"/>
      <c r="E102" s="22"/>
      <c r="F102" s="22"/>
      <c r="G102" s="22"/>
      <c r="H102" s="39"/>
    </row>
    <row r="103" spans="2:8" s="68" customFormat="1" ht="15.75">
      <c r="B103" s="89">
        <f>VLOOKUP(D103,'Upis rezultata A sektora'!$E$2:$I$13,5,0)</f>
        <v>1</v>
      </c>
      <c r="C103" s="90"/>
      <c r="D103" s="96">
        <f>IF(ISNONTEXT('Upis rezultata A sektora'!E5)=TRUE,"",'Upis rezultata A sektora'!E5)</f>
      </c>
      <c r="E103" s="91"/>
      <c r="F103" s="92">
        <f>IF(ISNUMBER('Prijava ekipa i izvlačenje br.'!B5)=FALSE,"",'Prijava ekipa i izvlačenje br.'!B5)</f>
      </c>
      <c r="G103" s="97">
        <f>IF((D103)="","","A")</f>
      </c>
      <c r="H103" s="97">
        <f>IF(ISNUMBER('Upis rezultata A sektora'!C5)=FALSE,"",'Upis rezultata A sektora'!C5)</f>
      </c>
    </row>
    <row r="104" spans="2:8" ht="12.75">
      <c r="B104" s="40"/>
      <c r="C104" s="29"/>
      <c r="D104" s="29"/>
      <c r="E104" s="25"/>
      <c r="F104" s="25"/>
      <c r="G104" s="25"/>
      <c r="H104" s="25"/>
    </row>
    <row r="106" spans="1:9" ht="12.75">
      <c r="A106" s="36"/>
      <c r="B106" s="41"/>
      <c r="C106" s="42" t="s">
        <v>66</v>
      </c>
      <c r="D106" s="43"/>
      <c r="E106" s="44" t="s">
        <v>67</v>
      </c>
      <c r="F106" s="43"/>
      <c r="G106" s="44" t="s">
        <v>68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69</v>
      </c>
      <c r="C111" s="6">
        <f>IF(ISNONTEXT('Organizacija natjecanja'!H22)=TRUE,"",'Organizacija natjecanja'!H22)</f>
      </c>
      <c r="F111" s="6" t="s">
        <v>70</v>
      </c>
    </row>
    <row r="112" ht="12.75">
      <c r="B112" s="7"/>
    </row>
    <row r="113" ht="12.75">
      <c r="B113" s="7"/>
    </row>
    <row r="114" spans="2:3" ht="15">
      <c r="B114" s="31"/>
      <c r="C114" s="31" t="s">
        <v>60</v>
      </c>
    </row>
    <row r="115" ht="12.75">
      <c r="G115" s="18">
        <f>IF(ISNONTEXT('Organizacija natjecanja'!H5)=TRUE,"",'Organizacija natjecanja'!H5)</f>
      </c>
    </row>
    <row r="116" ht="12.75">
      <c r="G116" s="19" t="s">
        <v>61</v>
      </c>
    </row>
    <row r="118" spans="4:8" ht="18">
      <c r="D118" s="32"/>
      <c r="E118" s="32" t="s">
        <v>62</v>
      </c>
      <c r="F118" s="32"/>
      <c r="G118" s="32"/>
      <c r="H118" s="32"/>
    </row>
    <row r="120" spans="5:8" ht="15">
      <c r="E120" s="20">
        <f>IF(ISNONTEXT('Organizacija natjecanja'!H2)=TRUE,"",'Organizacija natjecanja'!H2)</f>
      </c>
      <c r="H120" s="21"/>
    </row>
    <row r="121" spans="4:8" ht="12.75">
      <c r="D121" s="7"/>
      <c r="E121" s="19" t="s">
        <v>63</v>
      </c>
      <c r="F121" s="7"/>
      <c r="G121" s="7"/>
      <c r="H121" s="7"/>
    </row>
    <row r="122" ht="12.75">
      <c r="D122" s="33"/>
    </row>
    <row r="123" spans="2:5" ht="15">
      <c r="B123" s="6" t="s">
        <v>59</v>
      </c>
      <c r="E123" s="20">
        <f>IF(ISNONTEXT('Upis rezultata A sektora'!D6)=TRUE,"",'Upis rezultata A sektora'!D6)</f>
      </c>
    </row>
    <row r="124" ht="12.75">
      <c r="E124" s="18"/>
    </row>
    <row r="125" spans="2:5" ht="12.75">
      <c r="B125" s="6" t="s">
        <v>52</v>
      </c>
      <c r="E125" s="18">
        <f>IF(ISNONTEXT('Organizacija natjecanja'!H9)=TRUE,"",'Organizacija natjecanja'!H9)</f>
      </c>
    </row>
    <row r="127" spans="1:9" ht="12.75">
      <c r="A127" s="36"/>
      <c r="B127" s="34" t="s">
        <v>53</v>
      </c>
      <c r="C127" s="34"/>
      <c r="D127" s="35" t="s">
        <v>54</v>
      </c>
      <c r="E127" s="34"/>
      <c r="F127" s="34" t="s">
        <v>64</v>
      </c>
      <c r="G127" s="35" t="s">
        <v>55</v>
      </c>
      <c r="H127" s="34" t="s">
        <v>65</v>
      </c>
      <c r="I127" s="36"/>
    </row>
    <row r="128" spans="2:8" ht="12.75">
      <c r="B128" s="37"/>
      <c r="C128" s="38"/>
      <c r="D128" s="38"/>
      <c r="E128" s="22"/>
      <c r="F128" s="22"/>
      <c r="G128" s="22"/>
      <c r="H128" s="39"/>
    </row>
    <row r="129" spans="2:8" s="68" customFormat="1" ht="15.75">
      <c r="B129" s="89">
        <f>VLOOKUP(D129,'Upis rezultata A sektora'!$E$2:$I$13,5,0)</f>
        <v>1</v>
      </c>
      <c r="C129" s="90"/>
      <c r="D129" s="96">
        <f>IF(ISNONTEXT('Upis rezultata A sektora'!E6)=TRUE,"",'Upis rezultata A sektora'!E6)</f>
      </c>
      <c r="E129" s="91"/>
      <c r="F129" s="92">
        <f>IF(ISNUMBER('Prijava ekipa i izvlačenje br.'!B6)=FALSE,"",'Prijava ekipa i izvlačenje br.'!B6)</f>
      </c>
      <c r="G129" s="97">
        <f>IF((D129)="","","A")</f>
      </c>
      <c r="H129" s="97">
        <f>IF(ISNUMBER('Upis rezultata A sektora'!C6)=FALSE,"",'Upis rezultata A sektora'!C6)</f>
      </c>
    </row>
    <row r="130" spans="2:8" ht="12.75">
      <c r="B130" s="40"/>
      <c r="C130" s="29"/>
      <c r="D130" s="29"/>
      <c r="E130" s="25"/>
      <c r="F130" s="25"/>
      <c r="G130" s="25"/>
      <c r="H130" s="25"/>
    </row>
    <row r="132" spans="1:9" ht="12.75">
      <c r="A132" s="36"/>
      <c r="B132" s="41"/>
      <c r="C132" s="42" t="s">
        <v>66</v>
      </c>
      <c r="D132" s="43"/>
      <c r="E132" s="44" t="s">
        <v>67</v>
      </c>
      <c r="F132" s="43"/>
      <c r="G132" s="44" t="s">
        <v>68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69</v>
      </c>
      <c r="C137" s="6">
        <f>IF(ISNONTEXT('Organizacija natjecanja'!H22)=TRUE,"",'Organizacija natjecanja'!H22)</f>
      </c>
      <c r="F137" s="6" t="s">
        <v>70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60</v>
      </c>
    </row>
    <row r="145" ht="12.75">
      <c r="G145" s="18">
        <f>IF(ISNONTEXT('Organizacija natjecanja'!H5)=TRUE,"",'Organizacija natjecanja'!H5)</f>
      </c>
    </row>
    <row r="146" ht="12.75">
      <c r="G146" s="19" t="s">
        <v>61</v>
      </c>
    </row>
    <row r="148" spans="4:8" ht="18">
      <c r="D148" s="32"/>
      <c r="E148" s="32" t="s">
        <v>62</v>
      </c>
      <c r="F148" s="32"/>
      <c r="G148" s="32"/>
      <c r="H148" s="32"/>
    </row>
    <row r="150" spans="5:8" ht="15">
      <c r="E150" s="20">
        <f>IF(ISNONTEXT('Organizacija natjecanja'!H2)=TRUE,"",'Organizacija natjecanja'!H2)</f>
      </c>
      <c r="H150" s="21"/>
    </row>
    <row r="151" spans="4:8" ht="12.75">
      <c r="D151" s="7"/>
      <c r="E151" s="19" t="s">
        <v>63</v>
      </c>
      <c r="F151" s="7"/>
      <c r="G151" s="7"/>
      <c r="H151" s="7"/>
    </row>
    <row r="152" ht="12.75">
      <c r="D152" s="33"/>
    </row>
    <row r="153" spans="2:5" ht="15">
      <c r="B153" s="6" t="s">
        <v>51</v>
      </c>
      <c r="E153" s="20">
        <f>IF(ISNONTEXT('Upis rezultata A sektora'!D7)=TRUE,"",'Upis rezultata A sektora'!D7)</f>
      </c>
    </row>
    <row r="154" ht="12.75">
      <c r="E154" s="18"/>
    </row>
    <row r="155" spans="2:5" ht="12.75">
      <c r="B155" s="6" t="s">
        <v>52</v>
      </c>
      <c r="E155" s="18">
        <f>IF(ISNONTEXT('Organizacija natjecanja'!H9)=TRUE,"",'Organizacija natjecanja'!H9)</f>
      </c>
    </row>
    <row r="157" spans="1:9" ht="12.75">
      <c r="A157" s="36"/>
      <c r="B157" s="34" t="s">
        <v>71</v>
      </c>
      <c r="C157" s="34"/>
      <c r="D157" s="35" t="s">
        <v>54</v>
      </c>
      <c r="E157" s="34"/>
      <c r="F157" s="34" t="s">
        <v>64</v>
      </c>
      <c r="G157" s="35" t="s">
        <v>55</v>
      </c>
      <c r="H157" s="34" t="s">
        <v>65</v>
      </c>
      <c r="I157" s="36"/>
    </row>
    <row r="158" spans="2:8" ht="12.75">
      <c r="B158" s="37"/>
      <c r="C158" s="38"/>
      <c r="D158" s="38"/>
      <c r="E158" s="22"/>
      <c r="F158" s="22"/>
      <c r="G158" s="22"/>
      <c r="H158" s="39"/>
    </row>
    <row r="159" spans="2:8" s="68" customFormat="1" ht="15.75">
      <c r="B159" s="89">
        <f>VLOOKUP(D159,'Upis rezultata A sektora'!$E$2:$I$13,5,0)</f>
        <v>1</v>
      </c>
      <c r="C159" s="90"/>
      <c r="D159" s="96">
        <f>IF(ISNONTEXT('Upis rezultata A sektora'!E7)=TRUE,"",'Upis rezultata A sektora'!E7)</f>
      </c>
      <c r="E159" s="91"/>
      <c r="F159" s="92">
        <f>IF(ISNUMBER('Prijava ekipa i izvlačenje br.'!B7)=FALSE,"",'Prijava ekipa i izvlačenje br.'!B7)</f>
      </c>
      <c r="G159" s="97">
        <f>IF((D159)="","","A")</f>
      </c>
      <c r="H159" s="97">
        <f>IF(ISNUMBER('Upis rezultata A sektora'!C7)=FALSE,"",'Upis rezultata A sektora'!C7)</f>
      </c>
    </row>
    <row r="160" spans="2:8" ht="12.75">
      <c r="B160" s="40"/>
      <c r="C160" s="29"/>
      <c r="D160" s="29"/>
      <c r="E160" s="25"/>
      <c r="F160" s="25"/>
      <c r="G160" s="25"/>
      <c r="H160" s="25"/>
    </row>
    <row r="162" spans="1:9" ht="12.75">
      <c r="A162" s="36"/>
      <c r="B162" s="41"/>
      <c r="C162" s="42" t="s">
        <v>66</v>
      </c>
      <c r="D162" s="43"/>
      <c r="E162" s="44" t="s">
        <v>67</v>
      </c>
      <c r="F162" s="43"/>
      <c r="G162" s="44" t="s">
        <v>68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69</v>
      </c>
      <c r="C167" s="6">
        <f>IF(ISNONTEXT('Organizacija natjecanja'!H22)=TRUE,"",'Organizacija natjecanja'!H22)</f>
      </c>
      <c r="F167" s="6" t="s">
        <v>70</v>
      </c>
    </row>
    <row r="168" ht="12.75">
      <c r="B168" s="7"/>
    </row>
    <row r="169" ht="12.75">
      <c r="B169" s="7"/>
    </row>
    <row r="170" spans="2:3" ht="15">
      <c r="B170" s="31"/>
      <c r="C170" s="31" t="s">
        <v>60</v>
      </c>
    </row>
    <row r="171" ht="12.75">
      <c r="G171" s="18">
        <f>IF(ISNONTEXT('Organizacija natjecanja'!H5)=TRUE,"",'Organizacija natjecanja'!H5)</f>
      </c>
    </row>
    <row r="172" ht="12.75">
      <c r="G172" s="19" t="s">
        <v>61</v>
      </c>
    </row>
    <row r="174" spans="4:8" ht="18">
      <c r="D174" s="32"/>
      <c r="E174" s="32" t="s">
        <v>62</v>
      </c>
      <c r="F174" s="32"/>
      <c r="G174" s="32"/>
      <c r="H174" s="32"/>
    </row>
    <row r="176" spans="5:8" ht="15">
      <c r="E176" s="20">
        <f>IF(ISNONTEXT('Organizacija natjecanja'!H2)=TRUE,"",'Organizacija natjecanja'!H2)</f>
      </c>
      <c r="H176" s="21"/>
    </row>
    <row r="177" spans="4:8" ht="12.75">
      <c r="D177" s="7"/>
      <c r="E177" s="19" t="s">
        <v>63</v>
      </c>
      <c r="F177" s="7"/>
      <c r="G177" s="7"/>
      <c r="H177" s="7"/>
    </row>
    <row r="178" ht="12.75">
      <c r="D178" s="33"/>
    </row>
    <row r="179" spans="2:5" ht="15">
      <c r="B179" s="6" t="s">
        <v>59</v>
      </c>
      <c r="E179" s="20">
        <f>IF(ISNONTEXT('Upis rezultata A sektora'!D8)=TRUE,"",'Upis rezultata A sektora'!D8)</f>
      </c>
    </row>
    <row r="180" ht="12.75">
      <c r="E180" s="18"/>
    </row>
    <row r="181" spans="2:5" ht="12.75">
      <c r="B181" s="6" t="s">
        <v>52</v>
      </c>
      <c r="E181" s="18">
        <f>IF(ISNONTEXT('Organizacija natjecanja'!H9)=TRUE,"",'Organizacija natjecanja'!H9)</f>
      </c>
    </row>
    <row r="183" spans="1:9" ht="12.75">
      <c r="A183" s="36"/>
      <c r="B183" s="34" t="s">
        <v>53</v>
      </c>
      <c r="C183" s="34"/>
      <c r="D183" s="35" t="s">
        <v>54</v>
      </c>
      <c r="E183" s="34"/>
      <c r="F183" s="34" t="s">
        <v>64</v>
      </c>
      <c r="G183" s="35" t="s">
        <v>55</v>
      </c>
      <c r="H183" s="34" t="s">
        <v>65</v>
      </c>
      <c r="I183" s="36"/>
    </row>
    <row r="184" spans="2:8" ht="12.75">
      <c r="B184" s="37"/>
      <c r="C184" s="38"/>
      <c r="D184" s="38"/>
      <c r="E184" s="22"/>
      <c r="F184" s="22"/>
      <c r="G184" s="22"/>
      <c r="H184" s="39"/>
    </row>
    <row r="185" spans="2:8" s="68" customFormat="1" ht="15.75">
      <c r="B185" s="89">
        <f>VLOOKUP(D185,'Upis rezultata A sektora'!$E$2:$I$13,5,0)</f>
        <v>1</v>
      </c>
      <c r="C185" s="90"/>
      <c r="D185" s="96">
        <f>IF(ISNONTEXT('Upis rezultata A sektora'!E8)=TRUE,"",'Upis rezultata A sektora'!E8)</f>
      </c>
      <c r="E185" s="91"/>
      <c r="F185" s="92">
        <f>IF(ISNUMBER('Prijava ekipa i izvlačenje br.'!B8)=FALSE,"",'Prijava ekipa i izvlačenje br.'!B8)</f>
      </c>
      <c r="G185" s="97">
        <f>IF((D185)="","","A")</f>
      </c>
      <c r="H185" s="97">
        <f>IF(ISNUMBER('Upis rezultata A sektora'!C8)=FALSE,"",'Upis rezultata A sektora'!C8)</f>
      </c>
    </row>
    <row r="186" spans="2:8" ht="12.75">
      <c r="B186" s="40"/>
      <c r="C186" s="29"/>
      <c r="D186" s="29"/>
      <c r="E186" s="25"/>
      <c r="F186" s="25"/>
      <c r="G186" s="25"/>
      <c r="H186" s="25"/>
    </row>
    <row r="188" spans="1:9" ht="12.75">
      <c r="A188" s="36"/>
      <c r="B188" s="41"/>
      <c r="C188" s="42" t="s">
        <v>66</v>
      </c>
      <c r="D188" s="43"/>
      <c r="E188" s="44" t="s">
        <v>67</v>
      </c>
      <c r="F188" s="43"/>
      <c r="G188" s="44" t="s">
        <v>68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69</v>
      </c>
      <c r="C193" s="6">
        <f>IF(ISNONTEXT('Organizacija natjecanja'!H22)=TRUE,"",'Organizacija natjecanja'!H22)</f>
      </c>
      <c r="F193" s="6" t="s">
        <v>70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60</v>
      </c>
    </row>
    <row r="201" ht="12.75">
      <c r="G201" s="18">
        <f>IF(ISNONTEXT('Organizacija natjecanja'!H5)=TRUE,"",'Organizacija natjecanja'!H5)</f>
      </c>
    </row>
    <row r="202" ht="12.75">
      <c r="G202" s="19" t="s">
        <v>61</v>
      </c>
    </row>
    <row r="204" spans="4:8" ht="18">
      <c r="D204" s="32"/>
      <c r="E204" s="32" t="s">
        <v>62</v>
      </c>
      <c r="F204" s="32"/>
      <c r="G204" s="32"/>
      <c r="H204" s="32"/>
    </row>
    <row r="206" spans="5:8" ht="15">
      <c r="E206" s="20">
        <f>IF(ISNONTEXT('Organizacija natjecanja'!H2)=TRUE,"",'Organizacija natjecanja'!H2)</f>
      </c>
      <c r="H206" s="21"/>
    </row>
    <row r="207" spans="4:8" ht="12.75">
      <c r="D207" s="7"/>
      <c r="E207" s="19" t="s">
        <v>63</v>
      </c>
      <c r="F207" s="7"/>
      <c r="G207" s="7"/>
      <c r="H207" s="7"/>
    </row>
    <row r="208" ht="12.75">
      <c r="D208" s="33"/>
    </row>
    <row r="209" spans="2:5" ht="15">
      <c r="B209" s="6" t="s">
        <v>51</v>
      </c>
      <c r="E209" s="20">
        <f>IF(ISNONTEXT('Upis rezultata A sektora'!D9)=TRUE,"",'Upis rezultata A sektora'!D9)</f>
      </c>
    </row>
    <row r="210" ht="12.75">
      <c r="E210" s="18"/>
    </row>
    <row r="211" spans="2:5" ht="12.75">
      <c r="B211" s="6" t="s">
        <v>52</v>
      </c>
      <c r="E211" s="18">
        <f>IF(ISNONTEXT('Organizacija natjecanja'!H9)=TRUE,"",'Organizacija natjecanja'!H9)</f>
      </c>
    </row>
    <row r="213" spans="1:9" ht="12.75">
      <c r="A213" s="36"/>
      <c r="B213" s="34" t="s">
        <v>71</v>
      </c>
      <c r="C213" s="34"/>
      <c r="D213" s="35" t="s">
        <v>54</v>
      </c>
      <c r="E213" s="34"/>
      <c r="F213" s="34" t="s">
        <v>64</v>
      </c>
      <c r="G213" s="35" t="s">
        <v>55</v>
      </c>
      <c r="H213" s="34" t="s">
        <v>65</v>
      </c>
      <c r="I213" s="36"/>
    </row>
    <row r="214" spans="2:8" ht="12.75">
      <c r="B214" s="37"/>
      <c r="C214" s="38"/>
      <c r="D214" s="38"/>
      <c r="E214" s="22"/>
      <c r="F214" s="22"/>
      <c r="G214" s="22"/>
      <c r="H214" s="39"/>
    </row>
    <row r="215" spans="2:8" s="68" customFormat="1" ht="15.75">
      <c r="B215" s="89">
        <f>VLOOKUP(D215,'Upis rezultata A sektora'!$E$2:$I$13,5,0)</f>
        <v>1</v>
      </c>
      <c r="C215" s="90"/>
      <c r="D215" s="96">
        <f>IF(ISNONTEXT('Upis rezultata A sektora'!E9)=TRUE,"",'Upis rezultata A sektora'!E9)</f>
      </c>
      <c r="E215" s="91"/>
      <c r="F215" s="92">
        <f>IF(ISNUMBER('Prijava ekipa i izvlačenje br.'!B9)=FALSE,"",'Prijava ekipa i izvlačenje br.'!B9)</f>
      </c>
      <c r="G215" s="97">
        <f>IF((D215)="","","A")</f>
      </c>
      <c r="H215" s="97">
        <f>IF(ISNUMBER('Upis rezultata A sektora'!C9)=FALSE,"",'Upis rezultata A sektora'!C9)</f>
      </c>
    </row>
    <row r="216" spans="2:8" ht="12.75">
      <c r="B216" s="40"/>
      <c r="C216" s="29"/>
      <c r="D216" s="29"/>
      <c r="E216" s="25"/>
      <c r="F216" s="25"/>
      <c r="G216" s="25"/>
      <c r="H216" s="25"/>
    </row>
    <row r="218" spans="1:9" ht="12.75">
      <c r="A218" s="36"/>
      <c r="B218" s="41"/>
      <c r="C218" s="42" t="s">
        <v>66</v>
      </c>
      <c r="D218" s="43"/>
      <c r="E218" s="44" t="s">
        <v>67</v>
      </c>
      <c r="F218" s="43"/>
      <c r="G218" s="44" t="s">
        <v>68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69</v>
      </c>
      <c r="C223" s="6">
        <f>IF(ISNONTEXT('Organizacija natjecanja'!H22)=TRUE,"",'Organizacija natjecanja'!H22)</f>
      </c>
      <c r="F223" s="6" t="s">
        <v>70</v>
      </c>
    </row>
    <row r="224" ht="12.75">
      <c r="B224" s="7"/>
    </row>
    <row r="225" ht="12.75">
      <c r="B225" s="7"/>
    </row>
    <row r="226" spans="2:3" ht="15">
      <c r="B226" s="31"/>
      <c r="C226" s="31" t="s">
        <v>60</v>
      </c>
    </row>
    <row r="227" ht="12.75">
      <c r="G227" s="18">
        <f>IF(ISNONTEXT('Organizacija natjecanja'!H5)=TRUE,"",'Organizacija natjecanja'!H5)</f>
      </c>
    </row>
    <row r="228" ht="12.75">
      <c r="G228" s="19" t="s">
        <v>61</v>
      </c>
    </row>
    <row r="230" spans="4:8" ht="18">
      <c r="D230" s="32"/>
      <c r="E230" s="32" t="s">
        <v>62</v>
      </c>
      <c r="F230" s="32"/>
      <c r="G230" s="32"/>
      <c r="H230" s="32"/>
    </row>
    <row r="232" spans="5:8" ht="15">
      <c r="E232" s="20">
        <f>IF(ISNONTEXT('Organizacija natjecanja'!H2)=TRUE,"",'Organizacija natjecanja'!H2)</f>
      </c>
      <c r="H232" s="21"/>
    </row>
    <row r="233" spans="4:8" ht="12.75">
      <c r="D233" s="7"/>
      <c r="E233" s="19" t="s">
        <v>63</v>
      </c>
      <c r="F233" s="7"/>
      <c r="G233" s="7"/>
      <c r="H233" s="7"/>
    </row>
    <row r="234" ht="12.75">
      <c r="D234" s="33"/>
    </row>
    <row r="235" spans="2:5" ht="15">
      <c r="B235" s="6" t="s">
        <v>59</v>
      </c>
      <c r="E235" s="20">
        <f>IF(ISNONTEXT('Upis rezultata A sektora'!D10)=TRUE,"",'Upis rezultata A sektora'!D10)</f>
      </c>
    </row>
    <row r="236" ht="12.75">
      <c r="E236" s="18"/>
    </row>
    <row r="237" spans="2:5" ht="12.75">
      <c r="B237" s="6" t="s">
        <v>52</v>
      </c>
      <c r="E237" s="18">
        <f>IF(ISNONTEXT('Organizacija natjecanja'!H9)=TRUE,"",'Organizacija natjecanja'!H9)</f>
      </c>
    </row>
    <row r="239" spans="1:9" ht="12.75">
      <c r="A239" s="36"/>
      <c r="B239" s="34" t="s">
        <v>53</v>
      </c>
      <c r="C239" s="34"/>
      <c r="D239" s="35" t="s">
        <v>54</v>
      </c>
      <c r="E239" s="34"/>
      <c r="F239" s="34" t="s">
        <v>64</v>
      </c>
      <c r="G239" s="35" t="s">
        <v>55</v>
      </c>
      <c r="H239" s="34" t="s">
        <v>65</v>
      </c>
      <c r="I239" s="36"/>
    </row>
    <row r="240" spans="2:8" ht="12.75">
      <c r="B240" s="37"/>
      <c r="C240" s="38"/>
      <c r="D240" s="38"/>
      <c r="E240" s="22"/>
      <c r="F240" s="22"/>
      <c r="G240" s="22"/>
      <c r="H240" s="39"/>
    </row>
    <row r="241" spans="2:8" s="68" customFormat="1" ht="15.75">
      <c r="B241" s="89">
        <f>VLOOKUP(D241,'Upis rezultata A sektora'!$E$2:$I$13,5,0)</f>
        <v>1</v>
      </c>
      <c r="C241" s="90"/>
      <c r="D241" s="96">
        <f>IF(ISNONTEXT('Upis rezultata A sektora'!E10)=TRUE,"",'Upis rezultata A sektora'!E10)</f>
      </c>
      <c r="E241" s="91"/>
      <c r="F241" s="92">
        <f>IF(ISNUMBER('Prijava ekipa i izvlačenje br.'!B10)=FALSE,"",'Prijava ekipa i izvlačenje br.'!B10)</f>
      </c>
      <c r="G241" s="97">
        <f>IF((D241)="","","A")</f>
      </c>
      <c r="H241" s="97">
        <f>IF(ISNUMBER('Upis rezultata A sektora'!C10)=FALSE,"",'Upis rezultata A sektora'!C10)</f>
      </c>
    </row>
    <row r="242" spans="2:8" ht="12.75">
      <c r="B242" s="40"/>
      <c r="C242" s="29"/>
      <c r="D242" s="29"/>
      <c r="E242" s="25"/>
      <c r="F242" s="25"/>
      <c r="G242" s="25"/>
      <c r="H242" s="25"/>
    </row>
    <row r="244" spans="1:9" ht="12.75">
      <c r="A244" s="36"/>
      <c r="B244" s="41"/>
      <c r="C244" s="42" t="s">
        <v>66</v>
      </c>
      <c r="D244" s="43"/>
      <c r="E244" s="44" t="s">
        <v>67</v>
      </c>
      <c r="F244" s="43"/>
      <c r="G244" s="44" t="s">
        <v>68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69</v>
      </c>
      <c r="C249" s="6">
        <f>IF(ISNONTEXT('Organizacija natjecanja'!H22)=TRUE,"",'Organizacija natjecanja'!H22)</f>
      </c>
      <c r="F249" s="6" t="s">
        <v>70</v>
      </c>
    </row>
    <row r="250" ht="12.75">
      <c r="B250" s="7"/>
    </row>
    <row r="251" ht="12.75">
      <c r="B251" s="7"/>
    </row>
    <row r="252" ht="12.75">
      <c r="B252" s="7"/>
    </row>
    <row r="253" ht="12.75">
      <c r="B253" s="7"/>
    </row>
    <row r="254" ht="12.75">
      <c r="B254" s="7"/>
    </row>
    <row r="255" ht="12.75">
      <c r="B255" s="7"/>
    </row>
    <row r="256" spans="2:3" ht="15">
      <c r="B256" s="31"/>
      <c r="C256" s="31" t="s">
        <v>60</v>
      </c>
    </row>
    <row r="257" ht="12.75">
      <c r="G257" s="18">
        <f>IF(ISNONTEXT('Organizacija natjecanja'!H5)=TRUE,"",'Organizacija natjecanja'!H5)</f>
      </c>
    </row>
    <row r="258" ht="12.75">
      <c r="G258" s="19" t="s">
        <v>61</v>
      </c>
    </row>
    <row r="260" spans="4:8" ht="18">
      <c r="D260" s="32"/>
      <c r="E260" s="32" t="s">
        <v>62</v>
      </c>
      <c r="F260" s="32"/>
      <c r="G260" s="32"/>
      <c r="H260" s="32"/>
    </row>
    <row r="262" spans="5:8" ht="15">
      <c r="E262" s="20">
        <f>IF(ISNONTEXT('Organizacija natjecanja'!H2)=TRUE,"",'Organizacija natjecanja'!H2)</f>
      </c>
      <c r="H262" s="21"/>
    </row>
    <row r="263" spans="4:8" ht="12.75">
      <c r="D263" s="7"/>
      <c r="E263" s="19" t="s">
        <v>63</v>
      </c>
      <c r="F263" s="7"/>
      <c r="G263" s="7"/>
      <c r="H263" s="7"/>
    </row>
    <row r="264" ht="12.75">
      <c r="D264" s="33"/>
    </row>
    <row r="265" spans="2:5" ht="15">
      <c r="B265" s="6" t="s">
        <v>51</v>
      </c>
      <c r="E265" s="20">
        <f>IF(ISNONTEXT('Upis rezultata A sektora'!D11)=TRUE,"",'Upis rezultata A sektora'!D11)</f>
      </c>
    </row>
    <row r="266" ht="12.75">
      <c r="E266" s="18"/>
    </row>
    <row r="267" spans="2:5" ht="12.75">
      <c r="B267" s="6" t="s">
        <v>52</v>
      </c>
      <c r="E267" s="18">
        <f>IF(ISNONTEXT('Organizacija natjecanja'!H9)=TRUE,"",'Organizacija natjecanja'!H9)</f>
      </c>
    </row>
    <row r="269" spans="1:9" ht="12.75">
      <c r="A269" s="36"/>
      <c r="B269" s="34" t="s">
        <v>71</v>
      </c>
      <c r="C269" s="34"/>
      <c r="D269" s="35" t="s">
        <v>54</v>
      </c>
      <c r="E269" s="34"/>
      <c r="F269" s="34" t="s">
        <v>64</v>
      </c>
      <c r="G269" s="35" t="s">
        <v>55</v>
      </c>
      <c r="H269" s="34" t="s">
        <v>65</v>
      </c>
      <c r="I269" s="36"/>
    </row>
    <row r="270" spans="2:8" ht="12.75">
      <c r="B270" s="37"/>
      <c r="C270" s="38"/>
      <c r="D270" s="38"/>
      <c r="E270" s="22"/>
      <c r="F270" s="22"/>
      <c r="G270" s="22"/>
      <c r="H270" s="39"/>
    </row>
    <row r="271" spans="2:8" s="68" customFormat="1" ht="15.75">
      <c r="B271" s="89">
        <f>VLOOKUP(D271,'Upis rezultata A sektora'!$E$2:$I$13,5,0)</f>
        <v>1</v>
      </c>
      <c r="C271" s="90"/>
      <c r="D271" s="96">
        <f>IF(ISNONTEXT('Upis rezultata A sektora'!E11)=TRUE,"",'Upis rezultata A sektora'!E11)</f>
      </c>
      <c r="E271" s="91"/>
      <c r="F271" s="92">
        <f>IF(ISNUMBER('Prijava ekipa i izvlačenje br.'!B11)=FALSE,"",'Prijava ekipa i izvlačenje br.'!B11)</f>
      </c>
      <c r="G271" s="97">
        <f>IF((D271)="","","A")</f>
      </c>
      <c r="H271" s="97">
        <f>IF(ISNUMBER('Upis rezultata A sektora'!C11)=FALSE,"",'Upis rezultata A sektora'!C11)</f>
      </c>
    </row>
    <row r="272" spans="2:8" ht="12.75">
      <c r="B272" s="40"/>
      <c r="C272" s="29"/>
      <c r="D272" s="29"/>
      <c r="E272" s="25"/>
      <c r="F272" s="25"/>
      <c r="G272" s="25"/>
      <c r="H272" s="25"/>
    </row>
    <row r="274" spans="1:9" ht="12.75">
      <c r="A274" s="36"/>
      <c r="B274" s="41"/>
      <c r="C274" s="42" t="s">
        <v>66</v>
      </c>
      <c r="D274" s="43"/>
      <c r="E274" s="44" t="s">
        <v>67</v>
      </c>
      <c r="F274" s="43"/>
      <c r="G274" s="44" t="s">
        <v>68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69</v>
      </c>
      <c r="C279" s="6">
        <f>IF(ISNONTEXT('Organizacija natjecanja'!H22)=TRUE,"",'Organizacija natjecanja'!H22)</f>
      </c>
      <c r="F279" s="6" t="s">
        <v>70</v>
      </c>
    </row>
    <row r="280" ht="12.75">
      <c r="B280" s="7"/>
    </row>
    <row r="281" ht="12.75">
      <c r="B281" s="7"/>
    </row>
    <row r="282" spans="2:3" ht="15">
      <c r="B282" s="31"/>
      <c r="C282" s="31" t="s">
        <v>60</v>
      </c>
    </row>
    <row r="283" ht="12.75">
      <c r="G283" s="18">
        <f>IF(ISNONTEXT('Organizacija natjecanja'!H5)=TRUE,"",'Organizacija natjecanja'!H5)</f>
      </c>
    </row>
    <row r="284" ht="12.75">
      <c r="G284" s="19" t="s">
        <v>61</v>
      </c>
    </row>
    <row r="286" spans="4:8" ht="18">
      <c r="D286" s="32"/>
      <c r="E286" s="32" t="s">
        <v>62</v>
      </c>
      <c r="F286" s="32"/>
      <c r="G286" s="32"/>
      <c r="H286" s="32"/>
    </row>
    <row r="288" spans="5:8" ht="15">
      <c r="E288" s="20">
        <f>IF(ISNONTEXT('Organizacija natjecanja'!H2)=TRUE,"",'Organizacija natjecanja'!H2)</f>
      </c>
      <c r="H288" s="21"/>
    </row>
    <row r="289" spans="4:8" ht="12.75">
      <c r="D289" s="7"/>
      <c r="E289" s="19" t="s">
        <v>63</v>
      </c>
      <c r="F289" s="7"/>
      <c r="G289" s="7"/>
      <c r="H289" s="7"/>
    </row>
    <row r="290" ht="12.75">
      <c r="D290" s="33"/>
    </row>
    <row r="291" spans="2:5" ht="15">
      <c r="B291" s="6" t="s">
        <v>59</v>
      </c>
      <c r="E291" s="20">
        <f>IF(ISNONTEXT('Upis rezultata A sektora'!D12)=TRUE,"",'Upis rezultata A sektora'!D12)</f>
      </c>
    </row>
    <row r="292" ht="12.75">
      <c r="E292" s="18"/>
    </row>
    <row r="293" spans="2:5" ht="12.75">
      <c r="B293" s="6" t="s">
        <v>52</v>
      </c>
      <c r="E293" s="18">
        <f>IF(ISNONTEXT('Organizacija natjecanja'!H9)=TRUE,"",'Organizacija natjecanja'!H9)</f>
      </c>
    </row>
    <row r="295" spans="1:9" ht="12.75">
      <c r="A295" s="36"/>
      <c r="B295" s="34" t="s">
        <v>53</v>
      </c>
      <c r="C295" s="34"/>
      <c r="D295" s="35" t="s">
        <v>54</v>
      </c>
      <c r="E295" s="34"/>
      <c r="F295" s="34" t="s">
        <v>64</v>
      </c>
      <c r="G295" s="35" t="s">
        <v>55</v>
      </c>
      <c r="H295" s="34" t="s">
        <v>65</v>
      </c>
      <c r="I295" s="36"/>
    </row>
    <row r="296" spans="2:8" ht="12.75">
      <c r="B296" s="37"/>
      <c r="C296" s="38"/>
      <c r="D296" s="38"/>
      <c r="E296" s="22"/>
      <c r="F296" s="22"/>
      <c r="G296" s="22"/>
      <c r="H296" s="39"/>
    </row>
    <row r="297" spans="2:8" s="68" customFormat="1" ht="15.75">
      <c r="B297" s="89">
        <f>VLOOKUP(D297,'Upis rezultata A sektora'!$E$2:$I$13,5,0)</f>
        <v>1</v>
      </c>
      <c r="C297" s="90"/>
      <c r="D297" s="96">
        <f>IF(ISNONTEXT('Upis rezultata A sektora'!E12)=TRUE,"",'Upis rezultata A sektora'!E12)</f>
      </c>
      <c r="E297" s="91"/>
      <c r="F297" s="92">
        <f>IF(ISNUMBER('Prijava ekipa i izvlačenje br.'!B12)=FALSE,"",'Prijava ekipa i izvlačenje br.'!B12)</f>
      </c>
      <c r="G297" s="97">
        <f>IF((D297)="","","A")</f>
      </c>
      <c r="H297" s="97">
        <f>IF(ISNUMBER('Upis rezultata A sektora'!C12)=FALSE,"",'Upis rezultata A sektora'!C12)</f>
      </c>
    </row>
    <row r="298" spans="2:8" ht="12.75">
      <c r="B298" s="40"/>
      <c r="C298" s="29"/>
      <c r="D298" s="29"/>
      <c r="E298" s="25"/>
      <c r="F298" s="25"/>
      <c r="G298" s="25"/>
      <c r="H298" s="25"/>
    </row>
    <row r="300" spans="1:9" ht="12.75">
      <c r="A300" s="36"/>
      <c r="B300" s="41"/>
      <c r="C300" s="42" t="s">
        <v>66</v>
      </c>
      <c r="D300" s="43"/>
      <c r="E300" s="44" t="s">
        <v>67</v>
      </c>
      <c r="F300" s="43"/>
      <c r="G300" s="44" t="s">
        <v>68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69</v>
      </c>
      <c r="C305" s="6">
        <f>IF(ISNONTEXT('Organizacija natjecanja'!H22)=TRUE,"",'Organizacija natjecanja'!H22)</f>
      </c>
      <c r="F305" s="6" t="s">
        <v>70</v>
      </c>
    </row>
    <row r="306" ht="12.75">
      <c r="B306" s="7"/>
    </row>
    <row r="307" ht="12.75">
      <c r="B307" s="7"/>
    </row>
    <row r="308" ht="12.75">
      <c r="B308" s="7"/>
    </row>
    <row r="309" spans="1:9" ht="12.75">
      <c r="A309" s="30"/>
      <c r="B309" s="46"/>
      <c r="C309" s="30"/>
      <c r="D309" s="30"/>
      <c r="E309" s="30"/>
      <c r="F309" s="30"/>
      <c r="G309" s="30"/>
      <c r="H309" s="30"/>
      <c r="I309" s="30"/>
    </row>
    <row r="310" spans="1:9" ht="12.75">
      <c r="A310" s="30"/>
      <c r="B310" s="46"/>
      <c r="C310" s="30"/>
      <c r="D310" s="30"/>
      <c r="E310" s="30"/>
      <c r="F310" s="30"/>
      <c r="G310" s="30"/>
      <c r="H310" s="30"/>
      <c r="I310" s="30"/>
    </row>
    <row r="312" spans="2:3" ht="15">
      <c r="B312" s="31"/>
      <c r="C312" s="31" t="s">
        <v>60</v>
      </c>
    </row>
    <row r="313" ht="12.75">
      <c r="G313" s="18">
        <f>IF(ISNONTEXT('Organizacija natjecanja'!H5)=TRUE,"",'Organizacija natjecanja'!H5)</f>
      </c>
    </row>
    <row r="314" ht="12.75">
      <c r="G314" s="19" t="s">
        <v>61</v>
      </c>
    </row>
    <row r="316" spans="4:8" ht="18">
      <c r="D316" s="32"/>
      <c r="E316" s="32" t="s">
        <v>62</v>
      </c>
      <c r="F316" s="32"/>
      <c r="G316" s="32"/>
      <c r="H316" s="32"/>
    </row>
    <row r="318" spans="5:8" ht="15">
      <c r="E318" s="20">
        <f>IF(ISNONTEXT('Organizacija natjecanja'!H2)=TRUE,"",'Organizacija natjecanja'!H2)</f>
      </c>
      <c r="H318" s="21"/>
    </row>
    <row r="319" spans="4:8" ht="12.75">
      <c r="D319" s="7"/>
      <c r="E319" s="19" t="s">
        <v>63</v>
      </c>
      <c r="F319" s="7"/>
      <c r="G319" s="7"/>
      <c r="H319" s="7"/>
    </row>
    <row r="320" ht="12.75">
      <c r="D320" s="33"/>
    </row>
    <row r="321" spans="2:5" ht="15">
      <c r="B321" s="6" t="s">
        <v>51</v>
      </c>
      <c r="E321" s="20">
        <f>IF(ISNONTEXT('Upis rezultata A sektora'!D13)=TRUE,"",'Upis rezultata A sektora'!D13)</f>
      </c>
    </row>
    <row r="322" ht="12.75">
      <c r="E322" s="18"/>
    </row>
    <row r="323" spans="2:5" ht="12.75">
      <c r="B323" s="6" t="s">
        <v>52</v>
      </c>
      <c r="E323" s="18">
        <f>IF(ISNONTEXT('Organizacija natjecanja'!H9)=TRUE,"",'Organizacija natjecanja'!H9)</f>
      </c>
    </row>
    <row r="325" spans="1:9" ht="12.75">
      <c r="A325" s="36"/>
      <c r="B325" s="34" t="s">
        <v>71</v>
      </c>
      <c r="C325" s="34"/>
      <c r="D325" s="35" t="s">
        <v>54</v>
      </c>
      <c r="E325" s="34"/>
      <c r="F325" s="34" t="s">
        <v>64</v>
      </c>
      <c r="G325" s="35" t="s">
        <v>55</v>
      </c>
      <c r="H325" s="34" t="s">
        <v>65</v>
      </c>
      <c r="I325" s="36"/>
    </row>
    <row r="326" spans="2:8" ht="12.75">
      <c r="B326" s="37"/>
      <c r="C326" s="38"/>
      <c r="D326" s="38"/>
      <c r="E326" s="22"/>
      <c r="F326" s="22"/>
      <c r="G326" s="22"/>
      <c r="H326" s="39"/>
    </row>
    <row r="327" spans="2:8" s="68" customFormat="1" ht="15.75">
      <c r="B327" s="89">
        <f>VLOOKUP(D327,'Upis rezultata A sektora'!$E$2:$I$13,5,0)</f>
        <v>1</v>
      </c>
      <c r="C327" s="90"/>
      <c r="D327" s="96">
        <f>IF(ISNONTEXT('Upis rezultata A sektora'!E13)=TRUE,"",'Upis rezultata A sektora'!E13)</f>
      </c>
      <c r="E327" s="91"/>
      <c r="F327" s="92">
        <f>IF(ISNUMBER('Prijava ekipa i izvlačenje br.'!B13)=FALSE,"",'Prijava ekipa i izvlačenje br.'!B13)</f>
      </c>
      <c r="G327" s="97">
        <f>IF((D327)="","","A")</f>
      </c>
      <c r="H327" s="97">
        <f>IF(ISNUMBER('Upis rezultata A sektora'!C13)=FALSE,"",'Upis rezultata A sektora'!C13)</f>
      </c>
    </row>
    <row r="328" spans="2:8" ht="12.75">
      <c r="B328" s="40"/>
      <c r="C328" s="29"/>
      <c r="D328" s="29"/>
      <c r="E328" s="25"/>
      <c r="F328" s="25"/>
      <c r="G328" s="25"/>
      <c r="H328" s="25"/>
    </row>
    <row r="330" spans="1:9" ht="12.75">
      <c r="A330" s="36"/>
      <c r="B330" s="41"/>
      <c r="C330" s="42" t="s">
        <v>66</v>
      </c>
      <c r="D330" s="43"/>
      <c r="E330" s="44" t="s">
        <v>67</v>
      </c>
      <c r="F330" s="43"/>
      <c r="G330" s="44" t="s">
        <v>68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69</v>
      </c>
      <c r="C335" s="6">
        <f>IF(ISNONTEXT('Organizacija natjecanja'!H22)=TRUE,"",'Organizacija natjecanja'!H22)</f>
      </c>
      <c r="F335" s="6" t="s">
        <v>70</v>
      </c>
    </row>
    <row r="336" ht="12.75">
      <c r="B336" s="7"/>
    </row>
  </sheetData>
  <sheetProtection password="C7E2" sheet="1" objects="1" scenarios="1"/>
  <printOptions/>
  <pageMargins left="0.7874015748031497" right="0.7874015748031497" top="0.78" bottom="0.7874015748031497" header="0.7086614173228347" footer="0.5511811023622047"/>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6.xml><?xml version="1.0" encoding="utf-8"?>
<worksheet xmlns="http://schemas.openxmlformats.org/spreadsheetml/2006/main" xmlns:r="http://schemas.openxmlformats.org/officeDocument/2006/relationships">
  <sheetPr codeName="Sheet6">
    <tabColor indexed="11"/>
  </sheetPr>
  <dimension ref="A2:I336"/>
  <sheetViews>
    <sheetView showGridLines="0" showRowColHeaders="0" zoomScalePageLayoutView="0" workbookViewId="0" topLeftCell="A1">
      <selection activeCell="J9" sqref="J9"/>
    </sheetView>
  </sheetViews>
  <sheetFormatPr defaultColWidth="9.140625" defaultRowHeight="12.75"/>
  <cols>
    <col min="1" max="16384" width="9.140625" style="6" customWidth="1"/>
  </cols>
  <sheetData>
    <row r="2" spans="2:8" ht="15">
      <c r="B2" s="31"/>
      <c r="C2" s="31" t="s">
        <v>60</v>
      </c>
      <c r="H2" s="8"/>
    </row>
    <row r="3" ht="12.75">
      <c r="G3" s="18">
        <f>IF(ISNONTEXT('Organizacija natjecanja'!H5)=TRUE,"",'Organizacija natjecanja'!H5)</f>
      </c>
    </row>
    <row r="4" ht="12.75">
      <c r="G4" s="19" t="s">
        <v>61</v>
      </c>
    </row>
    <row r="5" ht="12.75">
      <c r="H5" s="8"/>
    </row>
    <row r="6" spans="4:8" ht="18">
      <c r="D6" s="32"/>
      <c r="E6" s="32" t="s">
        <v>62</v>
      </c>
      <c r="F6" s="32"/>
      <c r="G6" s="32"/>
      <c r="H6" s="32"/>
    </row>
    <row r="8" spans="5:8" ht="15">
      <c r="E8" s="20">
        <f>IF(ISNONTEXT('Organizacija natjecanja'!H2)=TRUE,"",'Organizacija natjecanja'!H2)</f>
      </c>
      <c r="H8" s="21"/>
    </row>
    <row r="9" spans="4:8" ht="12.75">
      <c r="D9" s="7"/>
      <c r="E9" s="19" t="s">
        <v>63</v>
      </c>
      <c r="F9" s="7"/>
      <c r="G9" s="7"/>
      <c r="H9" s="7"/>
    </row>
    <row r="10" ht="12.75">
      <c r="D10" s="33"/>
    </row>
    <row r="11" spans="2:5" ht="15">
      <c r="B11" s="6" t="s">
        <v>59</v>
      </c>
      <c r="E11" s="20">
        <f>IF(ISNONTEXT('Upis rezultata B sektora'!D2)=TRUE,"",'Upis rezultata B sektora'!D2)</f>
      </c>
    </row>
    <row r="12" ht="12.75">
      <c r="E12" s="18"/>
    </row>
    <row r="13" spans="2:5" ht="12.75">
      <c r="B13" s="6" t="s">
        <v>52</v>
      </c>
      <c r="E13" s="18">
        <f>IF(ISNONTEXT('Organizacija natjecanja'!H9)=TRUE,"",'Organizacija natjecanja'!H9)</f>
      </c>
    </row>
    <row r="15" spans="2:8" s="36" customFormat="1" ht="12">
      <c r="B15" s="34" t="s">
        <v>53</v>
      </c>
      <c r="C15" s="34"/>
      <c r="D15" s="35" t="s">
        <v>54</v>
      </c>
      <c r="E15" s="34"/>
      <c r="F15" s="34" t="s">
        <v>64</v>
      </c>
      <c r="G15" s="35" t="s">
        <v>55</v>
      </c>
      <c r="H15" s="34" t="s">
        <v>65</v>
      </c>
    </row>
    <row r="16" spans="2:8" ht="12.75">
      <c r="B16" s="37"/>
      <c r="C16" s="38"/>
      <c r="D16" s="38"/>
      <c r="E16" s="22"/>
      <c r="F16" s="22"/>
      <c r="G16" s="22"/>
      <c r="H16" s="39"/>
    </row>
    <row r="17" spans="2:8" s="68" customFormat="1" ht="15.75">
      <c r="B17" s="89">
        <f>VLOOKUP(D17,'Upis rezultata B sektora'!$E$2:$G$13,3,0)</f>
        <v>2</v>
      </c>
      <c r="C17" s="90"/>
      <c r="D17" s="96">
        <f>IF(ISNONTEXT('Upis rezultata B sektora'!E2)=TRUE,"",'Upis rezultata B sektora'!E2)</f>
      </c>
      <c r="E17" s="91"/>
      <c r="F17" s="92">
        <f>IF(ISNUMBER('Prijava ekipa i izvlačenje br.'!B2)=FALSE,"",'Prijava ekipa i izvlačenje br.'!B2)</f>
      </c>
      <c r="G17" s="97">
        <f>IF((D17)="","","B")</f>
      </c>
      <c r="H17" s="97">
        <f>IF(ISNUMBER('Upis rezultata B sektora'!C2)=FALSE,"",'Upis rezultata B sektora'!C2)</f>
      </c>
    </row>
    <row r="18" spans="2:8" ht="12.75">
      <c r="B18" s="40"/>
      <c r="C18" s="29"/>
      <c r="D18" s="29"/>
      <c r="E18" s="25"/>
      <c r="F18" s="25"/>
      <c r="G18" s="25"/>
      <c r="H18" s="25"/>
    </row>
    <row r="20" spans="2:8" s="36" customFormat="1" ht="12">
      <c r="B20" s="41"/>
      <c r="C20" s="42" t="s">
        <v>66</v>
      </c>
      <c r="D20" s="43"/>
      <c r="E20" s="44" t="s">
        <v>67</v>
      </c>
      <c r="F20" s="43"/>
      <c r="G20" s="44" t="s">
        <v>68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69</v>
      </c>
      <c r="C25" s="6">
        <f>IF(ISNONTEXT('Organizacija natjecanja'!H24)=TRUE,"",'Organizacija natjecanja'!H24)</f>
      </c>
      <c r="F25" s="6" t="s">
        <v>70</v>
      </c>
    </row>
    <row r="26" ht="12.75">
      <c r="B26" s="7"/>
    </row>
    <row r="27" ht="12.75">
      <c r="B27" s="7"/>
    </row>
    <row r="28" ht="12.75">
      <c r="B28" s="7"/>
    </row>
    <row r="29" ht="12.75">
      <c r="B29" s="7"/>
    </row>
    <row r="30" spans="1:9" ht="12.75">
      <c r="A30" s="30"/>
      <c r="B30" s="46"/>
      <c r="C30" s="30"/>
      <c r="D30" s="30"/>
      <c r="E30" s="30"/>
      <c r="F30" s="30"/>
      <c r="G30" s="30"/>
      <c r="H30" s="30"/>
      <c r="I30" s="30"/>
    </row>
    <row r="32" spans="2:3" ht="15">
      <c r="B32" s="31"/>
      <c r="C32" s="31" t="s">
        <v>60</v>
      </c>
    </row>
    <row r="33" ht="12.75">
      <c r="G33" s="18">
        <f>IF(ISNONTEXT('Organizacija natjecanja'!H5)=TRUE,"",'Organizacija natjecanja'!H5)</f>
      </c>
    </row>
    <row r="34" ht="12.75">
      <c r="G34" s="19" t="s">
        <v>61</v>
      </c>
    </row>
    <row r="36" spans="4:8" ht="18">
      <c r="D36" s="32"/>
      <c r="E36" s="32" t="s">
        <v>62</v>
      </c>
      <c r="F36" s="32"/>
      <c r="G36" s="32"/>
      <c r="H36" s="32"/>
    </row>
    <row r="38" spans="5:8" ht="15">
      <c r="E38" s="20">
        <f>IF(ISNONTEXT('Organizacija natjecanja'!H2)=TRUE,"",'Organizacija natjecanja'!H2)</f>
      </c>
      <c r="H38" s="21"/>
    </row>
    <row r="39" spans="4:8" ht="12.75">
      <c r="D39" s="7"/>
      <c r="E39" s="19" t="s">
        <v>63</v>
      </c>
      <c r="F39" s="7"/>
      <c r="G39" s="7"/>
      <c r="H39" s="7"/>
    </row>
    <row r="40" ht="12.75">
      <c r="D40" s="33"/>
    </row>
    <row r="41" spans="2:5" ht="15">
      <c r="B41" s="6" t="s">
        <v>51</v>
      </c>
      <c r="E41" s="20">
        <f>IF(ISNONTEXT('Upis rezultata B sektora'!D3)=TRUE,"",'Upis rezultata B sektora'!D3)</f>
      </c>
    </row>
    <row r="42" ht="12.75">
      <c r="E42" s="18"/>
    </row>
    <row r="43" spans="2:5" ht="12.75">
      <c r="B43" s="6" t="s">
        <v>52</v>
      </c>
      <c r="E43" s="18">
        <f>IF(ISNONTEXT('Organizacija natjecanja'!H9)=TRUE,"",'Organizacija natjecanja'!H9)</f>
      </c>
    </row>
    <row r="45" spans="2:8" s="36" customFormat="1" ht="12">
      <c r="B45" s="34" t="s">
        <v>71</v>
      </c>
      <c r="C45" s="34"/>
      <c r="D45" s="35" t="s">
        <v>54</v>
      </c>
      <c r="E45" s="34"/>
      <c r="F45" s="34" t="s">
        <v>64</v>
      </c>
      <c r="G45" s="35" t="s">
        <v>55</v>
      </c>
      <c r="H45" s="34" t="s">
        <v>65</v>
      </c>
    </row>
    <row r="46" spans="2:8" ht="12.75">
      <c r="B46" s="37"/>
      <c r="C46" s="38"/>
      <c r="D46" s="38"/>
      <c r="E46" s="22"/>
      <c r="F46" s="22"/>
      <c r="G46" s="22"/>
      <c r="H46" s="39"/>
    </row>
    <row r="47" spans="2:8" s="68" customFormat="1" ht="15.75">
      <c r="B47" s="89">
        <f>VLOOKUP(D47,'Upis rezultata B sektora'!$E$2:$G$13,3,0)</f>
        <v>2</v>
      </c>
      <c r="C47" s="90"/>
      <c r="D47" s="96">
        <f>IF(ISNONTEXT('Upis rezultata B sektora'!E3)=TRUE,"",'Upis rezultata B sektora'!E3)</f>
      </c>
      <c r="E47" s="91"/>
      <c r="F47" s="92">
        <f>IF(ISNUMBER('Prijava ekipa i izvlačenje br.'!B3)=FALSE,"",'Prijava ekipa i izvlačenje br.'!B3)</f>
      </c>
      <c r="G47" s="97">
        <f>IF((D47)="","","B")</f>
      </c>
      <c r="H47" s="97">
        <f>IF(ISNUMBER('Upis rezultata B sektora'!C3)=FALSE,"",'Upis rezultata B sektora'!C3)</f>
      </c>
    </row>
    <row r="48" spans="2:8" ht="12.75">
      <c r="B48" s="40"/>
      <c r="C48" s="29"/>
      <c r="D48" s="29"/>
      <c r="E48" s="25"/>
      <c r="F48" s="25"/>
      <c r="G48" s="25"/>
      <c r="H48" s="25"/>
    </row>
    <row r="50" spans="2:8" s="36" customFormat="1" ht="12">
      <c r="B50" s="41"/>
      <c r="C50" s="42" t="s">
        <v>66</v>
      </c>
      <c r="D50" s="43"/>
      <c r="E50" s="44" t="s">
        <v>67</v>
      </c>
      <c r="F50" s="43"/>
      <c r="G50" s="44" t="s">
        <v>68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69</v>
      </c>
      <c r="C55" s="6">
        <f>IF(ISNONTEXT('Organizacija natjecanja'!H24)=TRUE,"",'Organizacija natjecanja'!H24)</f>
      </c>
      <c r="F55" s="6" t="s">
        <v>70</v>
      </c>
    </row>
    <row r="56" ht="12.75">
      <c r="B56" s="7"/>
    </row>
    <row r="57" ht="12.75">
      <c r="B57" s="7"/>
    </row>
    <row r="58" spans="2:3" ht="15">
      <c r="B58" s="31"/>
      <c r="C58" s="31" t="s">
        <v>60</v>
      </c>
    </row>
    <row r="59" ht="12.75">
      <c r="G59" s="18">
        <f>IF(ISNONTEXT('Organizacija natjecanja'!H5)=TRUE,"",'Organizacija natjecanja'!H5)</f>
      </c>
    </row>
    <row r="60" ht="12.75">
      <c r="G60" s="19" t="s">
        <v>61</v>
      </c>
    </row>
    <row r="62" spans="4:8" ht="18">
      <c r="D62" s="32"/>
      <c r="E62" s="32" t="s">
        <v>62</v>
      </c>
      <c r="F62" s="32"/>
      <c r="G62" s="32"/>
      <c r="H62" s="32"/>
    </row>
    <row r="64" spans="5:8" ht="15">
      <c r="E64" s="20">
        <f>IF(ISNONTEXT('Organizacija natjecanja'!H2)=TRUE,"",'Organizacija natjecanja'!H2)</f>
      </c>
      <c r="H64" s="21"/>
    </row>
    <row r="65" spans="4:8" ht="12.75">
      <c r="D65" s="7"/>
      <c r="E65" s="19" t="s">
        <v>63</v>
      </c>
      <c r="F65" s="7"/>
      <c r="G65" s="7"/>
      <c r="H65" s="7"/>
    </row>
    <row r="66" ht="12.75">
      <c r="D66" s="33"/>
    </row>
    <row r="67" spans="2:5" ht="15">
      <c r="B67" s="6" t="s">
        <v>59</v>
      </c>
      <c r="E67" s="20">
        <f>IF(ISNONTEXT('Upis rezultata B sektora'!D4)=TRUE,"",'Upis rezultata B sektora'!D4)</f>
      </c>
    </row>
    <row r="68" ht="12.75">
      <c r="E68" s="18"/>
    </row>
    <row r="69" spans="2:5" ht="12.75">
      <c r="B69" s="6" t="s">
        <v>52</v>
      </c>
      <c r="E69" s="18">
        <f>IF(ISNONTEXT('Organizacija natjecanja'!H9)=TRUE,"",'Organizacija natjecanja'!H9)</f>
      </c>
    </row>
    <row r="71" spans="1:9" ht="12.75">
      <c r="A71" s="36"/>
      <c r="B71" s="34" t="s">
        <v>53</v>
      </c>
      <c r="C71" s="34"/>
      <c r="D71" s="35" t="s">
        <v>54</v>
      </c>
      <c r="E71" s="34"/>
      <c r="F71" s="34" t="s">
        <v>64</v>
      </c>
      <c r="G71" s="35" t="s">
        <v>55</v>
      </c>
      <c r="H71" s="34" t="s">
        <v>65</v>
      </c>
      <c r="I71" s="36"/>
    </row>
    <row r="72" spans="2:8" ht="12.75">
      <c r="B72" s="37"/>
      <c r="C72" s="38"/>
      <c r="D72" s="38"/>
      <c r="E72" s="22"/>
      <c r="F72" s="22"/>
      <c r="G72" s="22"/>
      <c r="H72" s="39"/>
    </row>
    <row r="73" spans="2:8" s="68" customFormat="1" ht="15.75">
      <c r="B73" s="89">
        <f>VLOOKUP(D73,'Upis rezultata B sektora'!$E$2:$G$13,3,0)</f>
        <v>2</v>
      </c>
      <c r="C73" s="90"/>
      <c r="D73" s="96">
        <f>IF(ISNONTEXT('Upis rezultata B sektora'!E4)=TRUE,"",'Upis rezultata B sektora'!E4)</f>
      </c>
      <c r="E73" s="91"/>
      <c r="F73" s="92">
        <f>IF(ISNUMBER('Prijava ekipa i izvlačenje br.'!B4)=FALSE,"",'Prijava ekipa i izvlačenje br.'!B4)</f>
      </c>
      <c r="G73" s="97">
        <f>IF((D73)="","","B")</f>
      </c>
      <c r="H73" s="97">
        <f>IF(ISNUMBER('Upis rezultata B sektora'!C4)=FALSE,"",'Upis rezultata B sektora'!C4)</f>
      </c>
    </row>
    <row r="74" spans="2:8" ht="12.75">
      <c r="B74" s="40"/>
      <c r="C74" s="29"/>
      <c r="D74" s="29"/>
      <c r="E74" s="25"/>
      <c r="F74" s="25"/>
      <c r="G74" s="25"/>
      <c r="H74" s="25"/>
    </row>
    <row r="76" spans="1:9" ht="12.75">
      <c r="A76" s="36"/>
      <c r="B76" s="41"/>
      <c r="C76" s="42" t="s">
        <v>66</v>
      </c>
      <c r="D76" s="43"/>
      <c r="E76" s="44" t="s">
        <v>67</v>
      </c>
      <c r="F76" s="43"/>
      <c r="G76" s="44" t="s">
        <v>68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69</v>
      </c>
      <c r="C81" s="6">
        <f>IF(ISNONTEXT('Organizacija natjecanja'!H24)=TRUE,"",'Organizacija natjecanja'!H24)</f>
      </c>
      <c r="F81" s="6" t="s">
        <v>70</v>
      </c>
    </row>
    <row r="82" ht="12.75">
      <c r="B82" s="7"/>
    </row>
    <row r="83" ht="12.75">
      <c r="B83" s="7"/>
    </row>
    <row r="84" ht="12.75">
      <c r="B84" s="7"/>
    </row>
    <row r="85" ht="12.75">
      <c r="B85" s="7"/>
    </row>
    <row r="86" ht="12.75">
      <c r="B86" s="7"/>
    </row>
    <row r="88" spans="2:3" ht="15">
      <c r="B88" s="31"/>
      <c r="C88" s="31" t="s">
        <v>60</v>
      </c>
    </row>
    <row r="89" ht="12.75">
      <c r="G89" s="18">
        <f>IF(ISNONTEXT('Organizacija natjecanja'!H5)=TRUE,"",'Organizacija natjecanja'!H5)</f>
      </c>
    </row>
    <row r="90" ht="12.75">
      <c r="G90" s="19" t="s">
        <v>61</v>
      </c>
    </row>
    <row r="92" spans="4:8" ht="18">
      <c r="D92" s="32"/>
      <c r="E92" s="32" t="s">
        <v>62</v>
      </c>
      <c r="F92" s="32"/>
      <c r="G92" s="32"/>
      <c r="H92" s="32"/>
    </row>
    <row r="94" spans="5:8" ht="15">
      <c r="E94" s="20">
        <f>IF(ISNONTEXT('Organizacija natjecanja'!H2)=TRUE,"",'Organizacija natjecanja'!H2)</f>
      </c>
      <c r="H94" s="21"/>
    </row>
    <row r="95" spans="4:8" ht="12.75">
      <c r="D95" s="7"/>
      <c r="E95" s="19" t="s">
        <v>63</v>
      </c>
      <c r="F95" s="7"/>
      <c r="G95" s="7"/>
      <c r="H95" s="7"/>
    </row>
    <row r="96" ht="12.75">
      <c r="D96" s="33"/>
    </row>
    <row r="97" spans="2:5" ht="15">
      <c r="B97" s="6" t="s">
        <v>51</v>
      </c>
      <c r="E97" s="20">
        <f>IF(ISNONTEXT('Upis rezultata B sektora'!D5)=TRUE,"",'Upis rezultata B sektora'!D5)</f>
      </c>
    </row>
    <row r="98" ht="12.75">
      <c r="E98" s="18"/>
    </row>
    <row r="99" spans="2:5" ht="12.75">
      <c r="B99" s="6" t="s">
        <v>52</v>
      </c>
      <c r="E99" s="18">
        <f>IF(ISNONTEXT('Organizacija natjecanja'!H9)=TRUE,"",'Organizacija natjecanja'!H9)</f>
      </c>
    </row>
    <row r="101" spans="1:9" ht="12.75">
      <c r="A101" s="36"/>
      <c r="B101" s="34" t="s">
        <v>71</v>
      </c>
      <c r="C101" s="34"/>
      <c r="D101" s="35" t="s">
        <v>54</v>
      </c>
      <c r="E101" s="34"/>
      <c r="F101" s="34" t="s">
        <v>64</v>
      </c>
      <c r="G101" s="35" t="s">
        <v>55</v>
      </c>
      <c r="H101" s="34" t="s">
        <v>65</v>
      </c>
      <c r="I101" s="36"/>
    </row>
    <row r="102" spans="2:8" ht="12.75">
      <c r="B102" s="37"/>
      <c r="C102" s="38"/>
      <c r="D102" s="38"/>
      <c r="E102" s="22"/>
      <c r="F102" s="22"/>
      <c r="G102" s="22"/>
      <c r="H102" s="39"/>
    </row>
    <row r="103" spans="2:8" s="68" customFormat="1" ht="15.75">
      <c r="B103" s="89">
        <f>VLOOKUP(D103,'Upis rezultata B sektora'!$E$2:$G$13,3,0)</f>
        <v>2</v>
      </c>
      <c r="C103" s="90"/>
      <c r="D103" s="96">
        <f>IF(ISNONTEXT('Upis rezultata B sektora'!E5)=TRUE,"",'Upis rezultata B sektora'!E5)</f>
      </c>
      <c r="E103" s="91"/>
      <c r="F103" s="92">
        <f>IF(ISNUMBER('Prijava ekipa i izvlačenje br.'!B5)=FALSE,"",'Prijava ekipa i izvlačenje br.'!B5)</f>
      </c>
      <c r="G103" s="97">
        <f>IF((D103)="","","B")</f>
      </c>
      <c r="H103" s="97">
        <f>IF(ISNUMBER('Upis rezultata B sektora'!C5)=FALSE,"",'Upis rezultata B sektora'!C5)</f>
      </c>
    </row>
    <row r="104" spans="2:8" ht="12.75">
      <c r="B104" s="40"/>
      <c r="C104" s="29"/>
      <c r="D104" s="29"/>
      <c r="E104" s="25"/>
      <c r="F104" s="25"/>
      <c r="G104" s="25"/>
      <c r="H104" s="25"/>
    </row>
    <row r="106" spans="1:9" ht="12.75">
      <c r="A106" s="36"/>
      <c r="B106" s="41"/>
      <c r="C106" s="42" t="s">
        <v>66</v>
      </c>
      <c r="D106" s="43"/>
      <c r="E106" s="44" t="s">
        <v>67</v>
      </c>
      <c r="F106" s="43"/>
      <c r="G106" s="44" t="s">
        <v>68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69</v>
      </c>
      <c r="C111" s="6">
        <f>IF(ISNONTEXT('Organizacija natjecanja'!H24)=TRUE,"",'Organizacija natjecanja'!H24)</f>
      </c>
      <c r="F111" s="6" t="s">
        <v>70</v>
      </c>
    </row>
    <row r="112" ht="12.75">
      <c r="B112" s="7"/>
    </row>
    <row r="113" ht="12.75">
      <c r="B113" s="7"/>
    </row>
    <row r="114" spans="2:3" ht="15">
      <c r="B114" s="31"/>
      <c r="C114" s="31" t="s">
        <v>60</v>
      </c>
    </row>
    <row r="115" ht="12.75">
      <c r="G115" s="18">
        <f>IF(ISNONTEXT('Organizacija natjecanja'!H5)=TRUE,"",'Organizacija natjecanja'!H5)</f>
      </c>
    </row>
    <row r="116" ht="12.75">
      <c r="G116" s="19" t="s">
        <v>61</v>
      </c>
    </row>
    <row r="118" spans="4:8" ht="18">
      <c r="D118" s="32"/>
      <c r="E118" s="32" t="s">
        <v>62</v>
      </c>
      <c r="F118" s="32"/>
      <c r="G118" s="32"/>
      <c r="H118" s="32"/>
    </row>
    <row r="120" spans="5:8" ht="15">
      <c r="E120" s="20">
        <f>IF(ISNONTEXT('Organizacija natjecanja'!H2)=TRUE,"",'Organizacija natjecanja'!H2)</f>
      </c>
      <c r="H120" s="21"/>
    </row>
    <row r="121" spans="4:8" ht="12.75">
      <c r="D121" s="7"/>
      <c r="E121" s="19" t="s">
        <v>63</v>
      </c>
      <c r="F121" s="7"/>
      <c r="G121" s="7"/>
      <c r="H121" s="7"/>
    </row>
    <row r="122" ht="12.75">
      <c r="D122" s="33"/>
    </row>
    <row r="123" spans="2:5" ht="15">
      <c r="B123" s="6" t="s">
        <v>59</v>
      </c>
      <c r="E123" s="20">
        <f>IF(ISNONTEXT('Upis rezultata B sektora'!D6)=TRUE,"",'Upis rezultata B sektora'!D6)</f>
      </c>
    </row>
    <row r="124" ht="12.75">
      <c r="E124" s="18"/>
    </row>
    <row r="125" spans="2:5" ht="12.75">
      <c r="B125" s="6" t="s">
        <v>52</v>
      </c>
      <c r="E125" s="18">
        <f>IF(ISNONTEXT('Organizacija natjecanja'!H9)=TRUE,"",'Organizacija natjecanja'!H9)</f>
      </c>
    </row>
    <row r="127" spans="1:9" ht="12.75">
      <c r="A127" s="36"/>
      <c r="B127" s="34" t="s">
        <v>53</v>
      </c>
      <c r="C127" s="34"/>
      <c r="D127" s="35" t="s">
        <v>54</v>
      </c>
      <c r="E127" s="34"/>
      <c r="F127" s="34" t="s">
        <v>64</v>
      </c>
      <c r="G127" s="35" t="s">
        <v>55</v>
      </c>
      <c r="H127" s="34" t="s">
        <v>65</v>
      </c>
      <c r="I127" s="36"/>
    </row>
    <row r="128" spans="2:8" ht="12.75">
      <c r="B128" s="37"/>
      <c r="C128" s="38"/>
      <c r="D128" s="38"/>
      <c r="E128" s="22"/>
      <c r="F128" s="22"/>
      <c r="G128" s="22"/>
      <c r="H128" s="39"/>
    </row>
    <row r="129" spans="2:8" s="68" customFormat="1" ht="15.75">
      <c r="B129" s="89">
        <f>VLOOKUP(D129,'Upis rezultata B sektora'!$E$2:$G$13,3,0)</f>
        <v>2</v>
      </c>
      <c r="C129" s="90"/>
      <c r="D129" s="96">
        <f>IF(ISNONTEXT('Upis rezultata B sektora'!E6)=TRUE,"",'Upis rezultata B sektora'!E6)</f>
      </c>
      <c r="E129" s="91"/>
      <c r="F129" s="92">
        <f>IF(ISNUMBER('Prijava ekipa i izvlačenje br.'!B6)=FALSE,"",'Prijava ekipa i izvlačenje br.'!B6)</f>
      </c>
      <c r="G129" s="97">
        <f>IF((D129)="","","B")</f>
      </c>
      <c r="H129" s="97">
        <f>IF(ISNUMBER('Upis rezultata B sektora'!C6)=FALSE,"",'Upis rezultata B sektora'!C6)</f>
      </c>
    </row>
    <row r="130" spans="2:8" ht="12.75">
      <c r="B130" s="40"/>
      <c r="C130" s="29"/>
      <c r="D130" s="29"/>
      <c r="E130" s="25"/>
      <c r="F130" s="25"/>
      <c r="G130" s="25"/>
      <c r="H130" s="25"/>
    </row>
    <row r="132" spans="1:9" ht="12.75">
      <c r="A132" s="36"/>
      <c r="B132" s="41"/>
      <c r="C132" s="42" t="s">
        <v>66</v>
      </c>
      <c r="D132" s="43"/>
      <c r="E132" s="44" t="s">
        <v>67</v>
      </c>
      <c r="F132" s="43"/>
      <c r="G132" s="44" t="s">
        <v>68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69</v>
      </c>
      <c r="C137" s="6">
        <f>IF(ISNONTEXT('Organizacija natjecanja'!H24)=TRUE,"",'Organizacija natjecanja'!H24)</f>
      </c>
      <c r="F137" s="6" t="s">
        <v>70</v>
      </c>
    </row>
    <row r="138" ht="12.75">
      <c r="B138" s="7"/>
    </row>
    <row r="139" ht="12.75">
      <c r="B139" s="7"/>
    </row>
    <row r="140" ht="12.75">
      <c r="B140" s="7"/>
    </row>
    <row r="141" ht="12.75">
      <c r="B141" s="7"/>
    </row>
    <row r="142" ht="12.75">
      <c r="B142" s="7"/>
    </row>
    <row r="144" spans="2:3" ht="15">
      <c r="B144" s="31"/>
      <c r="C144" s="31" t="s">
        <v>60</v>
      </c>
    </row>
    <row r="145" ht="12.75">
      <c r="G145" s="18">
        <f>IF(ISNONTEXT('Organizacija natjecanja'!H5)=TRUE,"",'Organizacija natjecanja'!H5)</f>
      </c>
    </row>
    <row r="146" ht="12.75">
      <c r="G146" s="19" t="s">
        <v>61</v>
      </c>
    </row>
    <row r="148" spans="4:8" ht="18">
      <c r="D148" s="32"/>
      <c r="E148" s="32" t="s">
        <v>62</v>
      </c>
      <c r="F148" s="32"/>
      <c r="G148" s="32"/>
      <c r="H148" s="32"/>
    </row>
    <row r="150" spans="5:8" ht="15">
      <c r="E150" s="20">
        <f>IF(ISNONTEXT('Organizacija natjecanja'!H2)=TRUE,"",'Organizacija natjecanja'!H2)</f>
      </c>
      <c r="H150" s="21"/>
    </row>
    <row r="151" spans="4:8" ht="12.75">
      <c r="D151" s="7"/>
      <c r="E151" s="19" t="s">
        <v>63</v>
      </c>
      <c r="F151" s="7"/>
      <c r="G151" s="7"/>
      <c r="H151" s="7"/>
    </row>
    <row r="152" ht="12.75">
      <c r="D152" s="33"/>
    </row>
    <row r="153" spans="2:5" ht="15">
      <c r="B153" s="6" t="s">
        <v>51</v>
      </c>
      <c r="E153" s="20">
        <f>IF(ISNONTEXT('Upis rezultata B sektora'!D7)=TRUE,"",'Upis rezultata B sektora'!D7)</f>
      </c>
    </row>
    <row r="154" ht="12.75">
      <c r="E154" s="18"/>
    </row>
    <row r="155" spans="2:5" ht="12.75">
      <c r="B155" s="6" t="s">
        <v>52</v>
      </c>
      <c r="E155" s="18">
        <f>IF(ISNONTEXT('Organizacija natjecanja'!H9)=TRUE,"",'Organizacija natjecanja'!H9)</f>
      </c>
    </row>
    <row r="157" spans="1:9" ht="12.75">
      <c r="A157" s="36"/>
      <c r="B157" s="34" t="s">
        <v>71</v>
      </c>
      <c r="C157" s="34"/>
      <c r="D157" s="35" t="s">
        <v>54</v>
      </c>
      <c r="E157" s="34"/>
      <c r="F157" s="34" t="s">
        <v>64</v>
      </c>
      <c r="G157" s="35" t="s">
        <v>55</v>
      </c>
      <c r="H157" s="34" t="s">
        <v>65</v>
      </c>
      <c r="I157" s="36"/>
    </row>
    <row r="158" spans="2:8" ht="12.75">
      <c r="B158" s="37"/>
      <c r="C158" s="38"/>
      <c r="D158" s="38"/>
      <c r="E158" s="22"/>
      <c r="F158" s="22"/>
      <c r="G158" s="22"/>
      <c r="H158" s="39"/>
    </row>
    <row r="159" spans="2:8" s="68" customFormat="1" ht="15.75">
      <c r="B159" s="89">
        <f>VLOOKUP(D159,'Upis rezultata B sektora'!$E$2:$G$13,3,0)</f>
        <v>2</v>
      </c>
      <c r="C159" s="90"/>
      <c r="D159" s="96">
        <f>IF(ISNONTEXT('Upis rezultata B sektora'!E7)=TRUE,"",'Upis rezultata B sektora'!E7)</f>
      </c>
      <c r="E159" s="91"/>
      <c r="F159" s="92">
        <f>IF(ISNUMBER('Prijava ekipa i izvlačenje br.'!B7)=FALSE,"",'Prijava ekipa i izvlačenje br.'!B7)</f>
      </c>
      <c r="G159" s="97">
        <f>IF((D159)="","","B")</f>
      </c>
      <c r="H159" s="97">
        <f>IF(ISNUMBER('Upis rezultata B sektora'!C7)=FALSE,"",'Upis rezultata B sektora'!C7)</f>
      </c>
    </row>
    <row r="160" spans="2:8" ht="12.75">
      <c r="B160" s="40"/>
      <c r="C160" s="29"/>
      <c r="D160" s="29"/>
      <c r="E160" s="25"/>
      <c r="F160" s="25"/>
      <c r="G160" s="25"/>
      <c r="H160" s="25"/>
    </row>
    <row r="162" spans="1:9" ht="12.75">
      <c r="A162" s="36"/>
      <c r="B162" s="41"/>
      <c r="C162" s="42" t="s">
        <v>66</v>
      </c>
      <c r="D162" s="43"/>
      <c r="E162" s="44" t="s">
        <v>67</v>
      </c>
      <c r="F162" s="43"/>
      <c r="G162" s="44" t="s">
        <v>68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69</v>
      </c>
      <c r="C167" s="6">
        <f>IF(ISNONTEXT('Organizacija natjecanja'!H24)=TRUE,"",'Organizacija natjecanja'!H24)</f>
      </c>
      <c r="F167" s="6" t="s">
        <v>70</v>
      </c>
    </row>
    <row r="168" ht="12.75">
      <c r="B168" s="7"/>
    </row>
    <row r="169" ht="12.75">
      <c r="B169" s="7"/>
    </row>
    <row r="170" spans="2:3" ht="15">
      <c r="B170" s="31"/>
      <c r="C170" s="31" t="s">
        <v>60</v>
      </c>
    </row>
    <row r="171" ht="12.75">
      <c r="G171" s="18">
        <f>IF(ISNONTEXT('Organizacija natjecanja'!H5)=TRUE,"",'Organizacija natjecanja'!H5)</f>
      </c>
    </row>
    <row r="172" ht="12.75">
      <c r="G172" s="19" t="s">
        <v>61</v>
      </c>
    </row>
    <row r="174" spans="4:8" ht="18">
      <c r="D174" s="32"/>
      <c r="E174" s="32" t="s">
        <v>62</v>
      </c>
      <c r="F174" s="32"/>
      <c r="G174" s="32"/>
      <c r="H174" s="32"/>
    </row>
    <row r="176" spans="5:8" ht="15">
      <c r="E176" s="20">
        <f>IF(ISNONTEXT('Organizacija natjecanja'!H2)=TRUE,"",'Organizacija natjecanja'!H2)</f>
      </c>
      <c r="H176" s="21"/>
    </row>
    <row r="177" spans="4:8" ht="12.75">
      <c r="D177" s="7"/>
      <c r="E177" s="19" t="s">
        <v>63</v>
      </c>
      <c r="F177" s="7"/>
      <c r="G177" s="7"/>
      <c r="H177" s="7"/>
    </row>
    <row r="178" ht="12.75">
      <c r="D178" s="33"/>
    </row>
    <row r="179" spans="2:5" ht="15">
      <c r="B179" s="6" t="s">
        <v>59</v>
      </c>
      <c r="E179" s="20">
        <f>IF(ISNONTEXT('Upis rezultata B sektora'!D8)=TRUE,"",'Upis rezultata B sektora'!D8)</f>
      </c>
    </row>
    <row r="180" ht="12.75">
      <c r="E180" s="18"/>
    </row>
    <row r="181" spans="2:5" ht="12.75">
      <c r="B181" s="6" t="s">
        <v>52</v>
      </c>
      <c r="E181" s="18">
        <f>IF(ISNONTEXT('Organizacija natjecanja'!H9)=TRUE,"",'Organizacija natjecanja'!H9)</f>
      </c>
    </row>
    <row r="183" spans="1:9" ht="12.75">
      <c r="A183" s="36"/>
      <c r="B183" s="34" t="s">
        <v>53</v>
      </c>
      <c r="C183" s="34"/>
      <c r="D183" s="35" t="s">
        <v>54</v>
      </c>
      <c r="E183" s="34"/>
      <c r="F183" s="34" t="s">
        <v>64</v>
      </c>
      <c r="G183" s="35" t="s">
        <v>55</v>
      </c>
      <c r="H183" s="34" t="s">
        <v>65</v>
      </c>
      <c r="I183" s="36"/>
    </row>
    <row r="184" spans="2:8" ht="12.75">
      <c r="B184" s="37"/>
      <c r="C184" s="38"/>
      <c r="D184" s="38"/>
      <c r="E184" s="22"/>
      <c r="F184" s="22"/>
      <c r="G184" s="22"/>
      <c r="H184" s="39"/>
    </row>
    <row r="185" spans="2:8" s="68" customFormat="1" ht="15.75">
      <c r="B185" s="89">
        <f>VLOOKUP(D185,'Upis rezultata B sektora'!$E$2:$G$13,3,0)</f>
        <v>2</v>
      </c>
      <c r="C185" s="90"/>
      <c r="D185" s="96">
        <f>IF(ISNONTEXT('Upis rezultata B sektora'!E8)=TRUE,"",'Upis rezultata B sektora'!E8)</f>
      </c>
      <c r="E185" s="91"/>
      <c r="F185" s="92">
        <f>IF(ISNUMBER('Prijava ekipa i izvlačenje br.'!B8)=FALSE,"",'Prijava ekipa i izvlačenje br.'!B8)</f>
      </c>
      <c r="G185" s="97">
        <f>IF((D185)="","","B")</f>
      </c>
      <c r="H185" s="97">
        <f>IF(ISNUMBER('Upis rezultata B sektora'!C8)=FALSE,"",'Upis rezultata B sektora'!C8)</f>
      </c>
    </row>
    <row r="186" spans="2:8" ht="12.75">
      <c r="B186" s="40"/>
      <c r="C186" s="29"/>
      <c r="D186" s="29"/>
      <c r="E186" s="25"/>
      <c r="F186" s="25"/>
      <c r="G186" s="25"/>
      <c r="H186" s="25"/>
    </row>
    <row r="188" spans="1:9" ht="12.75">
      <c r="A188" s="36"/>
      <c r="B188" s="41"/>
      <c r="C188" s="42" t="s">
        <v>66</v>
      </c>
      <c r="D188" s="43"/>
      <c r="E188" s="44" t="s">
        <v>67</v>
      </c>
      <c r="F188" s="43"/>
      <c r="G188" s="44" t="s">
        <v>68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69</v>
      </c>
      <c r="C193" s="6">
        <f>IF(ISNONTEXT('Organizacija natjecanja'!H24)=TRUE,"",'Organizacija natjecanja'!H24)</f>
      </c>
      <c r="F193" s="6" t="s">
        <v>70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60</v>
      </c>
    </row>
    <row r="201" ht="12.75">
      <c r="G201" s="18">
        <f>IF(ISNONTEXT('Organizacija natjecanja'!H5)=TRUE,"",'Organizacija natjecanja'!H5)</f>
      </c>
    </row>
    <row r="202" ht="12.75">
      <c r="G202" s="19" t="s">
        <v>61</v>
      </c>
    </row>
    <row r="204" spans="4:8" ht="18">
      <c r="D204" s="32"/>
      <c r="E204" s="32" t="s">
        <v>62</v>
      </c>
      <c r="F204" s="32"/>
      <c r="G204" s="32"/>
      <c r="H204" s="32"/>
    </row>
    <row r="206" spans="5:8" ht="15">
      <c r="E206" s="20">
        <f>IF(ISNONTEXT('Organizacija natjecanja'!H2)=TRUE,"",'Organizacija natjecanja'!H2)</f>
      </c>
      <c r="H206" s="21"/>
    </row>
    <row r="207" spans="4:8" ht="12.75">
      <c r="D207" s="7"/>
      <c r="E207" s="19" t="s">
        <v>63</v>
      </c>
      <c r="F207" s="7"/>
      <c r="G207" s="7"/>
      <c r="H207" s="7"/>
    </row>
    <row r="208" ht="12.75">
      <c r="D208" s="33"/>
    </row>
    <row r="209" spans="2:5" ht="15">
      <c r="B209" s="6" t="s">
        <v>51</v>
      </c>
      <c r="E209" s="20">
        <f>IF(ISNONTEXT('Upis rezultata B sektora'!D9)=TRUE,"",'Upis rezultata B sektora'!D9)</f>
      </c>
    </row>
    <row r="210" ht="12.75">
      <c r="E210" s="18"/>
    </row>
    <row r="211" spans="2:5" ht="12.75">
      <c r="B211" s="6" t="s">
        <v>52</v>
      </c>
      <c r="E211" s="18">
        <f>IF(ISNONTEXT('Organizacija natjecanja'!H9)=TRUE,"",'Organizacija natjecanja'!H9)</f>
      </c>
    </row>
    <row r="213" spans="1:9" ht="12.75">
      <c r="A213" s="36"/>
      <c r="B213" s="34" t="s">
        <v>71</v>
      </c>
      <c r="C213" s="34"/>
      <c r="D213" s="35" t="s">
        <v>54</v>
      </c>
      <c r="E213" s="34"/>
      <c r="F213" s="34" t="s">
        <v>64</v>
      </c>
      <c r="G213" s="35" t="s">
        <v>55</v>
      </c>
      <c r="H213" s="34" t="s">
        <v>65</v>
      </c>
      <c r="I213" s="36"/>
    </row>
    <row r="214" spans="2:8" ht="12.75">
      <c r="B214" s="37"/>
      <c r="C214" s="38"/>
      <c r="D214" s="38"/>
      <c r="E214" s="22"/>
      <c r="F214" s="22"/>
      <c r="G214" s="22"/>
      <c r="H214" s="39"/>
    </row>
    <row r="215" spans="2:8" s="68" customFormat="1" ht="15.75">
      <c r="B215" s="89">
        <f>VLOOKUP(D215,'Upis rezultata B sektora'!$E$2:$G$13,3,0)</f>
        <v>2</v>
      </c>
      <c r="C215" s="90"/>
      <c r="D215" s="96">
        <f>IF(ISNONTEXT('Upis rezultata B sektora'!E9)=TRUE,"",'Upis rezultata B sektora'!E9)</f>
      </c>
      <c r="E215" s="91"/>
      <c r="F215" s="92">
        <f>IF(ISNUMBER('Prijava ekipa i izvlačenje br.'!B9)=FALSE,"",'Prijava ekipa i izvlačenje br.'!B9)</f>
      </c>
      <c r="G215" s="97">
        <f>IF((D215)="","","B")</f>
      </c>
      <c r="H215" s="97">
        <f>IF(ISNUMBER('Upis rezultata B sektora'!C9)=FALSE,"",'Upis rezultata B sektora'!C9)</f>
      </c>
    </row>
    <row r="216" spans="2:8" ht="12.75">
      <c r="B216" s="40"/>
      <c r="C216" s="29"/>
      <c r="D216" s="29"/>
      <c r="E216" s="25"/>
      <c r="F216" s="25"/>
      <c r="G216" s="25"/>
      <c r="H216" s="25"/>
    </row>
    <row r="218" spans="1:9" ht="12.75">
      <c r="A218" s="36"/>
      <c r="B218" s="41"/>
      <c r="C218" s="42" t="s">
        <v>66</v>
      </c>
      <c r="D218" s="43"/>
      <c r="E218" s="44" t="s">
        <v>67</v>
      </c>
      <c r="F218" s="43"/>
      <c r="G218" s="44" t="s">
        <v>68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69</v>
      </c>
      <c r="C223" s="6">
        <f>IF(ISNONTEXT('Organizacija natjecanja'!H24)=TRUE,"",'Organizacija natjecanja'!H24)</f>
      </c>
      <c r="F223" s="6" t="s">
        <v>70</v>
      </c>
    </row>
    <row r="224" ht="12.75">
      <c r="B224" s="7"/>
    </row>
    <row r="225" ht="12.75">
      <c r="B225" s="7"/>
    </row>
    <row r="226" spans="2:3" ht="15">
      <c r="B226" s="31"/>
      <c r="C226" s="31" t="s">
        <v>60</v>
      </c>
    </row>
    <row r="227" ht="12.75">
      <c r="G227" s="18">
        <f>IF(ISNONTEXT('Organizacija natjecanja'!H5)=TRUE,"",'Organizacija natjecanja'!H5)</f>
      </c>
    </row>
    <row r="228" ht="12.75">
      <c r="G228" s="19" t="s">
        <v>61</v>
      </c>
    </row>
    <row r="230" spans="4:8" ht="18">
      <c r="D230" s="32"/>
      <c r="E230" s="32" t="s">
        <v>62</v>
      </c>
      <c r="F230" s="32"/>
      <c r="G230" s="32"/>
      <c r="H230" s="32"/>
    </row>
    <row r="232" spans="5:8" ht="15">
      <c r="E232" s="20">
        <f>IF(ISNONTEXT('Organizacija natjecanja'!H2)=TRUE,"",'Organizacija natjecanja'!H2)</f>
      </c>
      <c r="H232" s="21"/>
    </row>
    <row r="233" spans="4:8" ht="12.75">
      <c r="D233" s="7"/>
      <c r="E233" s="19" t="s">
        <v>63</v>
      </c>
      <c r="F233" s="7"/>
      <c r="G233" s="7"/>
      <c r="H233" s="7"/>
    </row>
    <row r="234" ht="12.75">
      <c r="D234" s="33"/>
    </row>
    <row r="235" spans="2:5" ht="15">
      <c r="B235" s="6" t="s">
        <v>59</v>
      </c>
      <c r="E235" s="20">
        <f>IF(ISNONTEXT('Upis rezultata B sektora'!D10)=TRUE,"",'Upis rezultata B sektora'!D10)</f>
      </c>
    </row>
    <row r="236" ht="12.75">
      <c r="E236" s="18"/>
    </row>
    <row r="237" spans="2:5" ht="12.75">
      <c r="B237" s="6" t="s">
        <v>52</v>
      </c>
      <c r="E237" s="18">
        <f>IF(ISNONTEXT('Organizacija natjecanja'!H9)=TRUE,"",'Organizacija natjecanja'!H9)</f>
      </c>
    </row>
    <row r="239" spans="1:9" ht="12.75">
      <c r="A239" s="36"/>
      <c r="B239" s="34" t="s">
        <v>53</v>
      </c>
      <c r="C239" s="34"/>
      <c r="D239" s="35" t="s">
        <v>54</v>
      </c>
      <c r="E239" s="34"/>
      <c r="F239" s="34" t="s">
        <v>64</v>
      </c>
      <c r="G239" s="35" t="s">
        <v>55</v>
      </c>
      <c r="H239" s="34" t="s">
        <v>65</v>
      </c>
      <c r="I239" s="36"/>
    </row>
    <row r="240" spans="2:8" ht="12.75">
      <c r="B240" s="37"/>
      <c r="C240" s="38"/>
      <c r="D240" s="38"/>
      <c r="E240" s="22"/>
      <c r="F240" s="22"/>
      <c r="G240" s="22"/>
      <c r="H240" s="39"/>
    </row>
    <row r="241" spans="2:8" s="68" customFormat="1" ht="15.75">
      <c r="B241" s="89">
        <f>VLOOKUP(D241,'Upis rezultata B sektora'!$E$2:$G$13,3,0)</f>
        <v>2</v>
      </c>
      <c r="C241" s="90"/>
      <c r="D241" s="96">
        <f>IF(ISNONTEXT('Upis rezultata B sektora'!E10)=TRUE,"",'Upis rezultata B sektora'!E10)</f>
      </c>
      <c r="E241" s="91"/>
      <c r="F241" s="92">
        <f>IF(ISNUMBER('Prijava ekipa i izvlačenje br.'!B10)=FALSE,"",'Prijava ekipa i izvlačenje br.'!B10)</f>
      </c>
      <c r="G241" s="97">
        <f>IF((D241)="","","B")</f>
      </c>
      <c r="H241" s="97">
        <f>IF(ISNUMBER('Upis rezultata B sektora'!C10)=FALSE,"",'Upis rezultata B sektora'!C10)</f>
      </c>
    </row>
    <row r="242" spans="2:8" ht="12.75">
      <c r="B242" s="40"/>
      <c r="C242" s="29"/>
      <c r="D242" s="29"/>
      <c r="E242" s="25"/>
      <c r="F242" s="25"/>
      <c r="G242" s="25"/>
      <c r="H242" s="25"/>
    </row>
    <row r="244" spans="1:9" ht="12.75">
      <c r="A244" s="36"/>
      <c r="B244" s="41"/>
      <c r="C244" s="42" t="s">
        <v>66</v>
      </c>
      <c r="D244" s="43"/>
      <c r="E244" s="44" t="s">
        <v>67</v>
      </c>
      <c r="F244" s="43"/>
      <c r="G244" s="44" t="s">
        <v>68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69</v>
      </c>
      <c r="C249" s="6">
        <f>IF(ISNONTEXT('Organizacija natjecanja'!H24)=TRUE,"",'Organizacija natjecanja'!H24)</f>
      </c>
      <c r="F249" s="6" t="s">
        <v>70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60</v>
      </c>
    </row>
    <row r="257" ht="12.75">
      <c r="G257" s="18">
        <f>IF(ISNONTEXT('Organizacija natjecanja'!H5)=TRUE,"",'Organizacija natjecanja'!H5)</f>
      </c>
    </row>
    <row r="258" ht="12.75">
      <c r="G258" s="19" t="s">
        <v>61</v>
      </c>
    </row>
    <row r="260" spans="4:8" ht="18">
      <c r="D260" s="32"/>
      <c r="E260" s="32" t="s">
        <v>62</v>
      </c>
      <c r="F260" s="32"/>
      <c r="G260" s="32"/>
      <c r="H260" s="32"/>
    </row>
    <row r="262" spans="5:8" ht="15">
      <c r="E262" s="20">
        <f>IF(ISNONTEXT('Organizacija natjecanja'!H2)=TRUE,"",'Organizacija natjecanja'!H2)</f>
      </c>
      <c r="H262" s="21"/>
    </row>
    <row r="263" spans="4:8" ht="12.75">
      <c r="D263" s="7"/>
      <c r="E263" s="19" t="s">
        <v>63</v>
      </c>
      <c r="F263" s="7"/>
      <c r="G263" s="7"/>
      <c r="H263" s="7"/>
    </row>
    <row r="264" ht="12.75">
      <c r="D264" s="33"/>
    </row>
    <row r="265" spans="2:5" ht="15">
      <c r="B265" s="6" t="s">
        <v>51</v>
      </c>
      <c r="E265" s="20">
        <f>IF(ISNONTEXT('Upis rezultata B sektora'!D11)=TRUE,"",'Upis rezultata B sektora'!D11)</f>
      </c>
    </row>
    <row r="266" ht="12.75">
      <c r="E266" s="18"/>
    </row>
    <row r="267" spans="2:5" ht="12.75">
      <c r="B267" s="6" t="s">
        <v>52</v>
      </c>
      <c r="E267" s="18">
        <f>IF(ISNONTEXT('Organizacija natjecanja'!H9)=TRUE,"",'Organizacija natjecanja'!H9)</f>
      </c>
    </row>
    <row r="269" spans="1:9" ht="12.75">
      <c r="A269" s="36"/>
      <c r="B269" s="34" t="s">
        <v>71</v>
      </c>
      <c r="C269" s="34"/>
      <c r="D269" s="35" t="s">
        <v>54</v>
      </c>
      <c r="E269" s="34"/>
      <c r="F269" s="34" t="s">
        <v>64</v>
      </c>
      <c r="G269" s="35" t="s">
        <v>55</v>
      </c>
      <c r="H269" s="34" t="s">
        <v>65</v>
      </c>
      <c r="I269" s="36"/>
    </row>
    <row r="270" spans="2:8" ht="12.75">
      <c r="B270" s="37"/>
      <c r="C270" s="38"/>
      <c r="D270" s="38"/>
      <c r="E270" s="22"/>
      <c r="F270" s="22"/>
      <c r="G270" s="22"/>
      <c r="H270" s="39"/>
    </row>
    <row r="271" spans="2:8" s="68" customFormat="1" ht="15.75">
      <c r="B271" s="89">
        <f>VLOOKUP(D271,'Upis rezultata B sektora'!$E$2:$G$13,3,0)</f>
        <v>2</v>
      </c>
      <c r="C271" s="90"/>
      <c r="D271" s="96">
        <f>IF(ISNONTEXT('Upis rezultata B sektora'!E11)=TRUE,"",'Upis rezultata B sektora'!E11)</f>
      </c>
      <c r="E271" s="91"/>
      <c r="F271" s="92">
        <f>IF(ISNUMBER('Prijava ekipa i izvlačenje br.'!B11)=FALSE,"",'Prijava ekipa i izvlačenje br.'!B11)</f>
      </c>
      <c r="G271" s="97">
        <f>IF((D271)="","","B")</f>
      </c>
      <c r="H271" s="97">
        <f>IF(ISNUMBER('Upis rezultata B sektora'!C11)=FALSE,"",'Upis rezultata B sektora'!C11)</f>
      </c>
    </row>
    <row r="272" spans="2:8" ht="12.75">
      <c r="B272" s="40"/>
      <c r="C272" s="29"/>
      <c r="D272" s="29"/>
      <c r="E272" s="25"/>
      <c r="F272" s="25"/>
      <c r="G272" s="25"/>
      <c r="H272" s="25"/>
    </row>
    <row r="274" spans="1:9" ht="12.75">
      <c r="A274" s="36"/>
      <c r="B274" s="41"/>
      <c r="C274" s="42" t="s">
        <v>66</v>
      </c>
      <c r="D274" s="43"/>
      <c r="E274" s="44" t="s">
        <v>67</v>
      </c>
      <c r="F274" s="43"/>
      <c r="G274" s="44" t="s">
        <v>68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69</v>
      </c>
      <c r="C279" s="6">
        <f>IF(ISNONTEXT('Organizacija natjecanja'!H24)=TRUE,"",'Organizacija natjecanja'!H24)</f>
      </c>
      <c r="F279" s="6" t="s">
        <v>70</v>
      </c>
    </row>
    <row r="280" ht="12.75">
      <c r="B280" s="7"/>
    </row>
    <row r="281" ht="12.75">
      <c r="B281" s="7"/>
    </row>
    <row r="282" spans="2:3" ht="15">
      <c r="B282" s="31"/>
      <c r="C282" s="31" t="s">
        <v>60</v>
      </c>
    </row>
    <row r="283" ht="12.75">
      <c r="G283" s="18">
        <f>IF(ISNONTEXT('Organizacija natjecanja'!H5)=TRUE,"",'Organizacija natjecanja'!H5)</f>
      </c>
    </row>
    <row r="284" ht="12.75">
      <c r="G284" s="19" t="s">
        <v>61</v>
      </c>
    </row>
    <row r="286" spans="4:8" ht="18">
      <c r="D286" s="32"/>
      <c r="E286" s="32" t="s">
        <v>62</v>
      </c>
      <c r="F286" s="32"/>
      <c r="G286" s="32"/>
      <c r="H286" s="32"/>
    </row>
    <row r="288" spans="5:8" ht="15">
      <c r="E288" s="20">
        <f>IF(ISNONTEXT('Organizacija natjecanja'!H2)=TRUE,"",'Organizacija natjecanja'!H2)</f>
      </c>
      <c r="H288" s="21"/>
    </row>
    <row r="289" spans="4:8" ht="12.75">
      <c r="D289" s="7"/>
      <c r="E289" s="19" t="s">
        <v>63</v>
      </c>
      <c r="F289" s="7"/>
      <c r="G289" s="7"/>
      <c r="H289" s="7"/>
    </row>
    <row r="290" ht="12.75">
      <c r="D290" s="33"/>
    </row>
    <row r="291" spans="2:5" ht="15">
      <c r="B291" s="6" t="s">
        <v>59</v>
      </c>
      <c r="E291" s="20">
        <f>IF(ISNONTEXT('Upis rezultata B sektora'!D12)=TRUE,"",'Upis rezultata B sektora'!D12)</f>
      </c>
    </row>
    <row r="292" ht="12.75">
      <c r="E292" s="18"/>
    </row>
    <row r="293" spans="2:5" ht="12.75">
      <c r="B293" s="6" t="s">
        <v>52</v>
      </c>
      <c r="E293" s="18">
        <f>IF(ISNONTEXT('Organizacija natjecanja'!H9)=TRUE,"",'Organizacija natjecanja'!H9)</f>
      </c>
    </row>
    <row r="295" spans="1:9" ht="12.75">
      <c r="A295" s="36"/>
      <c r="B295" s="34" t="s">
        <v>53</v>
      </c>
      <c r="C295" s="34"/>
      <c r="D295" s="35" t="s">
        <v>54</v>
      </c>
      <c r="E295" s="34"/>
      <c r="F295" s="34" t="s">
        <v>64</v>
      </c>
      <c r="G295" s="35" t="s">
        <v>55</v>
      </c>
      <c r="H295" s="34" t="s">
        <v>65</v>
      </c>
      <c r="I295" s="36"/>
    </row>
    <row r="296" spans="2:8" ht="12.75">
      <c r="B296" s="37"/>
      <c r="C296" s="38"/>
      <c r="D296" s="38"/>
      <c r="E296" s="22"/>
      <c r="F296" s="22"/>
      <c r="G296" s="22"/>
      <c r="H296" s="39"/>
    </row>
    <row r="297" spans="2:8" s="68" customFormat="1" ht="15.75">
      <c r="B297" s="89">
        <f>VLOOKUP(D297,'Upis rezultata B sektora'!$E$2:$G$13,3,0)</f>
        <v>2</v>
      </c>
      <c r="C297" s="90"/>
      <c r="D297" s="96">
        <f>IF(ISNONTEXT('Upis rezultata B sektora'!E12)=TRUE,"",'Upis rezultata B sektora'!E12)</f>
      </c>
      <c r="E297" s="91"/>
      <c r="F297" s="92">
        <f>IF(ISNUMBER('Prijava ekipa i izvlačenje br.'!B12)=FALSE,"",'Prijava ekipa i izvlačenje br.'!B12)</f>
      </c>
      <c r="G297" s="97">
        <f>IF((D297)="","","B")</f>
      </c>
      <c r="H297" s="97">
        <f>IF(ISNUMBER('Upis rezultata B sektora'!C12)=FALSE,"",'Upis rezultata B sektora'!C12)</f>
      </c>
    </row>
    <row r="298" spans="2:8" ht="12.75">
      <c r="B298" s="40"/>
      <c r="C298" s="29"/>
      <c r="D298" s="29"/>
      <c r="E298" s="25"/>
      <c r="F298" s="25"/>
      <c r="G298" s="25"/>
      <c r="H298" s="25"/>
    </row>
    <row r="300" spans="1:9" ht="12.75">
      <c r="A300" s="36"/>
      <c r="B300" s="41"/>
      <c r="C300" s="42" t="s">
        <v>66</v>
      </c>
      <c r="D300" s="43"/>
      <c r="E300" s="44" t="s">
        <v>67</v>
      </c>
      <c r="F300" s="43"/>
      <c r="G300" s="44" t="s">
        <v>68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69</v>
      </c>
      <c r="C305" s="6">
        <f>IF(ISNONTEXT('Organizacija natjecanja'!H24)=TRUE,"",'Organizacija natjecanja'!H24)</f>
      </c>
      <c r="F305" s="6" t="s">
        <v>70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60</v>
      </c>
    </row>
    <row r="313" ht="12.75">
      <c r="G313" s="18">
        <f>IF(ISNONTEXT('Organizacija natjecanja'!H5)=TRUE,"",'Organizacija natjecanja'!H5)</f>
      </c>
    </row>
    <row r="314" ht="12.75">
      <c r="G314" s="19" t="s">
        <v>61</v>
      </c>
    </row>
    <row r="316" spans="4:8" ht="18">
      <c r="D316" s="32"/>
      <c r="E316" s="32" t="s">
        <v>62</v>
      </c>
      <c r="F316" s="32"/>
      <c r="G316" s="32"/>
      <c r="H316" s="32"/>
    </row>
    <row r="318" spans="5:8" ht="15">
      <c r="E318" s="20">
        <f>IF(ISNONTEXT('Organizacija natjecanja'!H2)=TRUE,"",'Organizacija natjecanja'!H2)</f>
      </c>
      <c r="H318" s="21"/>
    </row>
    <row r="319" spans="4:8" ht="12.75">
      <c r="D319" s="7"/>
      <c r="E319" s="19" t="s">
        <v>63</v>
      </c>
      <c r="F319" s="7"/>
      <c r="G319" s="7"/>
      <c r="H319" s="7"/>
    </row>
    <row r="320" ht="12.75">
      <c r="D320" s="33"/>
    </row>
    <row r="321" spans="2:5" ht="15">
      <c r="B321" s="6" t="s">
        <v>51</v>
      </c>
      <c r="E321" s="20">
        <f>IF(ISNONTEXT('Upis rezultata B sektora'!D13)=TRUE,"",'Upis rezultata B sektora'!D13)</f>
      </c>
    </row>
    <row r="322" ht="12.75">
      <c r="E322" s="18"/>
    </row>
    <row r="323" spans="2:5" ht="12.75">
      <c r="B323" s="6" t="s">
        <v>52</v>
      </c>
      <c r="E323" s="18">
        <f>IF(ISNONTEXT('Organizacija natjecanja'!H9)=TRUE,"",'Organizacija natjecanja'!H9)</f>
      </c>
    </row>
    <row r="325" spans="1:9" ht="12.75">
      <c r="A325" s="36"/>
      <c r="B325" s="34" t="s">
        <v>71</v>
      </c>
      <c r="C325" s="34"/>
      <c r="D325" s="35" t="s">
        <v>54</v>
      </c>
      <c r="E325" s="34"/>
      <c r="F325" s="34" t="s">
        <v>64</v>
      </c>
      <c r="G325" s="35" t="s">
        <v>55</v>
      </c>
      <c r="H325" s="34" t="s">
        <v>65</v>
      </c>
      <c r="I325" s="36"/>
    </row>
    <row r="326" spans="2:8" ht="12.75">
      <c r="B326" s="37"/>
      <c r="C326" s="38"/>
      <c r="D326" s="38"/>
      <c r="E326" s="22"/>
      <c r="F326" s="22"/>
      <c r="G326" s="22"/>
      <c r="H326" s="39"/>
    </row>
    <row r="327" spans="2:8" s="68" customFormat="1" ht="15.75">
      <c r="B327" s="89">
        <f>VLOOKUP(D327,'Upis rezultata B sektora'!$E$2:$G$13,3,0)</f>
        <v>2</v>
      </c>
      <c r="C327" s="90"/>
      <c r="D327" s="96">
        <f>IF(ISNONTEXT('Upis rezultata B sektora'!E13)=TRUE,"",'Upis rezultata B sektora'!E13)</f>
      </c>
      <c r="E327" s="91"/>
      <c r="F327" s="92">
        <f>IF(ISNUMBER('Prijava ekipa i izvlačenje br.'!B13)=FALSE,"",'Prijava ekipa i izvlačenje br.'!B13)</f>
      </c>
      <c r="G327" s="97">
        <f>IF((D327)="","","B")</f>
      </c>
      <c r="H327" s="97">
        <f>IF(ISNUMBER('Upis rezultata B sektora'!C13)=FALSE,"",'Upis rezultata B sektora'!C13)</f>
      </c>
    </row>
    <row r="328" spans="2:8" ht="12.75">
      <c r="B328" s="40"/>
      <c r="C328" s="29"/>
      <c r="D328" s="29"/>
      <c r="E328" s="25"/>
      <c r="F328" s="25"/>
      <c r="G328" s="25"/>
      <c r="H328" s="25"/>
    </row>
    <row r="330" spans="1:9" ht="12.75">
      <c r="A330" s="36"/>
      <c r="B330" s="41"/>
      <c r="C330" s="42" t="s">
        <v>66</v>
      </c>
      <c r="D330" s="43"/>
      <c r="E330" s="44" t="s">
        <v>67</v>
      </c>
      <c r="F330" s="43"/>
      <c r="G330" s="44" t="s">
        <v>68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69</v>
      </c>
      <c r="C335" s="6">
        <f>IF(ISNONTEXT('Organizacija natjecanja'!H24)=TRUE,"",'Organizacija natjecanja'!H24)</f>
      </c>
      <c r="F335" s="6" t="s">
        <v>70</v>
      </c>
    </row>
    <row r="336" ht="12.75">
      <c r="B336" s="7"/>
    </row>
  </sheetData>
  <sheetProtection password="C7E2" sheet="1" objects="1" scenarios="1"/>
  <printOptions/>
  <pageMargins left="0.7874015748031497" right="0.7874015748031497" top="0.73" bottom="0.79" header="0.57" footer="0.4330708661417323"/>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7.xml><?xml version="1.0" encoding="utf-8"?>
<worksheet xmlns="http://schemas.openxmlformats.org/spreadsheetml/2006/main" xmlns:r="http://schemas.openxmlformats.org/officeDocument/2006/relationships">
  <sheetPr codeName="Sheet7">
    <tabColor indexed="11"/>
  </sheetPr>
  <dimension ref="A2:I336"/>
  <sheetViews>
    <sheetView showGridLines="0" showRowColHeaders="0" zoomScalePageLayoutView="0" workbookViewId="0" topLeftCell="A1">
      <selection activeCell="J30" sqref="J30"/>
    </sheetView>
  </sheetViews>
  <sheetFormatPr defaultColWidth="9.140625" defaultRowHeight="12.75"/>
  <cols>
    <col min="1" max="16384" width="9.140625" style="6" customWidth="1"/>
  </cols>
  <sheetData>
    <row r="2" spans="2:8" ht="15">
      <c r="B2" s="31"/>
      <c r="C2" s="31" t="s">
        <v>60</v>
      </c>
      <c r="H2" s="8"/>
    </row>
    <row r="3" ht="12.75">
      <c r="G3" s="18">
        <f>IF(ISNONTEXT('Organizacija natjecanja'!H5)=TRUE,"",'Organizacija natjecanja'!H5)</f>
      </c>
    </row>
    <row r="4" ht="12.75">
      <c r="G4" s="19" t="s">
        <v>61</v>
      </c>
    </row>
    <row r="5" ht="12.75">
      <c r="H5" s="8"/>
    </row>
    <row r="6" spans="4:8" ht="18">
      <c r="D6" s="32"/>
      <c r="E6" s="32" t="s">
        <v>62</v>
      </c>
      <c r="F6" s="32"/>
      <c r="G6" s="32"/>
      <c r="H6" s="32"/>
    </row>
    <row r="8" spans="5:8" ht="15">
      <c r="E8" s="20">
        <f>IF(ISNONTEXT('Organizacija natjecanja'!H2)=TRUE,"",'Organizacija natjecanja'!H2)</f>
      </c>
      <c r="H8" s="21"/>
    </row>
    <row r="9" spans="4:8" ht="12.75">
      <c r="D9" s="7"/>
      <c r="E9" s="19" t="s">
        <v>63</v>
      </c>
      <c r="F9" s="7"/>
      <c r="G9" s="7"/>
      <c r="H9" s="7"/>
    </row>
    <row r="10" ht="12.75">
      <c r="D10" s="33"/>
    </row>
    <row r="11" spans="2:5" ht="15">
      <c r="B11" s="6" t="s">
        <v>59</v>
      </c>
      <c r="E11" s="20">
        <f>IF(ISNONTEXT('Upis rezultata C sektora'!D2)=TRUE,"",'Upis rezultata C sektora'!D2)</f>
      </c>
    </row>
    <row r="12" ht="12.75">
      <c r="E12" s="18"/>
    </row>
    <row r="13" spans="2:5" ht="12.75">
      <c r="B13" s="6" t="s">
        <v>52</v>
      </c>
      <c r="E13" s="18">
        <f>IF(ISNONTEXT('Organizacija natjecanja'!H9)=TRUE,"",'Organizacija natjecanja'!H9)</f>
      </c>
    </row>
    <row r="15" spans="2:8" s="36" customFormat="1" ht="12">
      <c r="B15" s="34" t="s">
        <v>53</v>
      </c>
      <c r="C15" s="34"/>
      <c r="D15" s="35" t="s">
        <v>54</v>
      </c>
      <c r="E15" s="34"/>
      <c r="F15" s="34" t="s">
        <v>64</v>
      </c>
      <c r="G15" s="35" t="s">
        <v>55</v>
      </c>
      <c r="H15" s="34" t="s">
        <v>65</v>
      </c>
    </row>
    <row r="16" spans="2:8" ht="12.75">
      <c r="B16" s="37"/>
      <c r="C16" s="38"/>
      <c r="D16" s="38"/>
      <c r="E16" s="22"/>
      <c r="F16" s="22"/>
      <c r="G16" s="22"/>
      <c r="H16" s="39"/>
    </row>
    <row r="17" spans="2:8" s="68" customFormat="1" ht="15.75">
      <c r="B17" s="89">
        <f>VLOOKUP(D17,'Upis rezultata C sektora'!$E$2:$G$13,3,0)</f>
        <v>3</v>
      </c>
      <c r="C17" s="90"/>
      <c r="D17" s="96">
        <f>IF(ISNONTEXT('Upis rezultata C sektora'!E2)=TRUE,"",'Upis rezultata C sektora'!E2)</f>
      </c>
      <c r="E17" s="91"/>
      <c r="F17" s="92">
        <f>IF(ISNUMBER('Prijava ekipa i izvlačenje br.'!B2)=FALSE,"",'Prijava ekipa i izvlačenje br.'!B2)</f>
      </c>
      <c r="G17" s="97">
        <f>IF((D17)="","","C")</f>
      </c>
      <c r="H17" s="97">
        <f>IF(ISNUMBER('Upis rezultata C sektora'!C2)=FALSE,"",'Upis rezultata C sektora'!C2)</f>
      </c>
    </row>
    <row r="18" spans="2:8" ht="12.75">
      <c r="B18" s="40"/>
      <c r="C18" s="29"/>
      <c r="D18" s="29"/>
      <c r="E18" s="25"/>
      <c r="F18" s="25"/>
      <c r="G18" s="25"/>
      <c r="H18" s="25"/>
    </row>
    <row r="20" spans="2:8" s="36" customFormat="1" ht="12">
      <c r="B20" s="41"/>
      <c r="C20" s="42" t="s">
        <v>66</v>
      </c>
      <c r="D20" s="43"/>
      <c r="E20" s="44" t="s">
        <v>67</v>
      </c>
      <c r="F20" s="43"/>
      <c r="G20" s="44" t="s">
        <v>68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69</v>
      </c>
      <c r="C25" s="6">
        <f>IF(ISNONTEXT('Organizacija natjecanja'!H26)=TRUE,"",'Organizacija natjecanja'!H26)</f>
      </c>
      <c r="F25" s="6" t="s">
        <v>70</v>
      </c>
    </row>
    <row r="26" ht="12.75">
      <c r="B26" s="7"/>
    </row>
    <row r="27" ht="12.75">
      <c r="B27" s="7"/>
    </row>
    <row r="28" ht="12.75">
      <c r="B28" s="7"/>
    </row>
    <row r="29" ht="12.75" customHeight="1">
      <c r="B29" s="7"/>
    </row>
    <row r="30" ht="12.75">
      <c r="B30" s="7"/>
    </row>
    <row r="31" ht="12.75">
      <c r="B31" s="7"/>
    </row>
    <row r="32" spans="2:3" ht="15">
      <c r="B32" s="31"/>
      <c r="C32" s="31" t="s">
        <v>60</v>
      </c>
    </row>
    <row r="33" ht="12.75">
      <c r="G33" s="18">
        <f>IF(ISNONTEXT('Organizacija natjecanja'!H5)=TRUE,"",'Organizacija natjecanja'!H5)</f>
      </c>
    </row>
    <row r="34" ht="12.75">
      <c r="G34" s="19" t="s">
        <v>61</v>
      </c>
    </row>
    <row r="36" spans="4:8" ht="18">
      <c r="D36" s="32"/>
      <c r="E36" s="32" t="s">
        <v>62</v>
      </c>
      <c r="F36" s="32"/>
      <c r="G36" s="32"/>
      <c r="H36" s="32"/>
    </row>
    <row r="38" spans="5:8" ht="15">
      <c r="E38" s="20">
        <f>IF(ISNONTEXT('Organizacija natjecanja'!H2)=TRUE,"",'Organizacija natjecanja'!H2)</f>
      </c>
      <c r="H38" s="21"/>
    </row>
    <row r="39" spans="4:8" ht="12.75">
      <c r="D39" s="7"/>
      <c r="E39" s="19" t="s">
        <v>63</v>
      </c>
      <c r="F39" s="7"/>
      <c r="G39" s="7"/>
      <c r="H39" s="7"/>
    </row>
    <row r="40" ht="12.75">
      <c r="D40" s="33"/>
    </row>
    <row r="41" spans="2:5" ht="15">
      <c r="B41" s="6" t="s">
        <v>51</v>
      </c>
      <c r="E41" s="20">
        <f>IF(ISNONTEXT('Upis rezultata C sektora'!D3)=TRUE,"",'Upis rezultata C sektora'!D3)</f>
      </c>
    </row>
    <row r="42" ht="12.75">
      <c r="E42" s="18"/>
    </row>
    <row r="43" spans="2:5" ht="12.75">
      <c r="B43" s="6" t="s">
        <v>52</v>
      </c>
      <c r="E43" s="18">
        <f>IF(ISNONTEXT('Organizacija natjecanja'!H9)=TRUE,"",'Organizacija natjecanja'!H9)</f>
      </c>
    </row>
    <row r="45" spans="2:8" s="36" customFormat="1" ht="12">
      <c r="B45" s="34" t="s">
        <v>71</v>
      </c>
      <c r="C45" s="34"/>
      <c r="D45" s="35" t="s">
        <v>54</v>
      </c>
      <c r="E45" s="34"/>
      <c r="F45" s="34" t="s">
        <v>64</v>
      </c>
      <c r="G45" s="35" t="s">
        <v>55</v>
      </c>
      <c r="H45" s="34" t="s">
        <v>65</v>
      </c>
    </row>
    <row r="46" spans="2:8" ht="12.75">
      <c r="B46" s="37"/>
      <c r="C46" s="38"/>
      <c r="D46" s="38"/>
      <c r="E46" s="22"/>
      <c r="F46" s="22"/>
      <c r="G46" s="22"/>
      <c r="H46" s="39"/>
    </row>
    <row r="47" spans="2:8" s="68" customFormat="1" ht="15.75">
      <c r="B47" s="89">
        <f>VLOOKUP(D47,'Upis rezultata C sektora'!$E$2:$G$13,3,0)</f>
        <v>3</v>
      </c>
      <c r="C47" s="90"/>
      <c r="D47" s="96">
        <f>IF(ISNONTEXT('Upis rezultata C sektora'!E3)=TRUE,"",'Upis rezultata C sektora'!E3)</f>
      </c>
      <c r="E47" s="91"/>
      <c r="F47" s="92">
        <f>IF(ISNUMBER('Prijava ekipa i izvlačenje br.'!B3)=FALSE,"",'Prijava ekipa i izvlačenje br.'!B3)</f>
      </c>
      <c r="G47" s="97">
        <f>IF((D47)="","","C")</f>
      </c>
      <c r="H47" s="97">
        <f>IF(ISNUMBER('Upis rezultata C sektora'!C3)=FALSE,"",'Upis rezultata C sektora'!C3)</f>
      </c>
    </row>
    <row r="48" spans="2:8" ht="12.75">
      <c r="B48" s="40"/>
      <c r="C48" s="29"/>
      <c r="D48" s="29"/>
      <c r="E48" s="25"/>
      <c r="F48" s="25"/>
      <c r="G48" s="25"/>
      <c r="H48" s="25"/>
    </row>
    <row r="50" spans="2:8" s="36" customFormat="1" ht="12">
      <c r="B50" s="41"/>
      <c r="C50" s="42" t="s">
        <v>66</v>
      </c>
      <c r="D50" s="43"/>
      <c r="E50" s="44" t="s">
        <v>67</v>
      </c>
      <c r="F50" s="43"/>
      <c r="G50" s="44" t="s">
        <v>68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69</v>
      </c>
      <c r="C55" s="6">
        <f>IF(ISNONTEXT('Organizacija natjecanja'!H26)=TRUE,"",'Organizacija natjecanja'!H26)</f>
      </c>
      <c r="F55" s="6" t="s">
        <v>70</v>
      </c>
    </row>
    <row r="56" ht="12.75">
      <c r="B56" s="7"/>
    </row>
    <row r="57" ht="12.75">
      <c r="B57" s="7"/>
    </row>
    <row r="58" spans="2:3" ht="15">
      <c r="B58" s="31"/>
      <c r="C58" s="31" t="s">
        <v>60</v>
      </c>
    </row>
    <row r="59" ht="12.75">
      <c r="G59" s="18">
        <f>IF(ISNONTEXT('Organizacija natjecanja'!H5)=TRUE,"",'Organizacija natjecanja'!H5)</f>
      </c>
    </row>
    <row r="60" ht="12.75">
      <c r="G60" s="19" t="s">
        <v>61</v>
      </c>
    </row>
    <row r="62" spans="4:8" ht="18">
      <c r="D62" s="32"/>
      <c r="E62" s="32" t="s">
        <v>62</v>
      </c>
      <c r="F62" s="32"/>
      <c r="G62" s="32"/>
      <c r="H62" s="32"/>
    </row>
    <row r="64" spans="5:8" ht="15">
      <c r="E64" s="20">
        <f>IF(ISNONTEXT('Organizacija natjecanja'!H2)=TRUE,"",'Organizacija natjecanja'!H2)</f>
      </c>
      <c r="H64" s="21"/>
    </row>
    <row r="65" spans="4:8" ht="12.75">
      <c r="D65" s="7"/>
      <c r="E65" s="19" t="s">
        <v>63</v>
      </c>
      <c r="F65" s="7"/>
      <c r="G65" s="7"/>
      <c r="H65" s="7"/>
    </row>
    <row r="66" ht="12.75">
      <c r="D66" s="33"/>
    </row>
    <row r="67" spans="2:5" ht="15">
      <c r="B67" s="6" t="s">
        <v>59</v>
      </c>
      <c r="E67" s="20">
        <f>IF(ISNONTEXT('Upis rezultata C sektora'!D4)=TRUE,"",'Upis rezultata C sektora'!D4)</f>
      </c>
    </row>
    <row r="68" ht="12.75">
      <c r="E68" s="18"/>
    </row>
    <row r="69" spans="2:5" ht="12.75">
      <c r="B69" s="6" t="s">
        <v>52</v>
      </c>
      <c r="E69" s="18">
        <f>IF(ISNONTEXT('Organizacija natjecanja'!H9)=TRUE,"",'Organizacija natjecanja'!H9)</f>
      </c>
    </row>
    <row r="71" spans="1:9" ht="12.75">
      <c r="A71" s="36"/>
      <c r="B71" s="34" t="s">
        <v>53</v>
      </c>
      <c r="C71" s="34"/>
      <c r="D71" s="35" t="s">
        <v>54</v>
      </c>
      <c r="E71" s="34"/>
      <c r="F71" s="34" t="s">
        <v>64</v>
      </c>
      <c r="G71" s="35" t="s">
        <v>55</v>
      </c>
      <c r="H71" s="34" t="s">
        <v>65</v>
      </c>
      <c r="I71" s="36"/>
    </row>
    <row r="72" spans="2:8" ht="12.75">
      <c r="B72" s="37"/>
      <c r="C72" s="38"/>
      <c r="D72" s="38"/>
      <c r="E72" s="22"/>
      <c r="F72" s="22"/>
      <c r="G72" s="22"/>
      <c r="H72" s="39"/>
    </row>
    <row r="73" spans="2:8" s="68" customFormat="1" ht="15.75">
      <c r="B73" s="89">
        <f>VLOOKUP(D73,'Upis rezultata C sektora'!$E$2:$G$13,3,0)</f>
        <v>3</v>
      </c>
      <c r="C73" s="90"/>
      <c r="D73" s="96">
        <f>IF(ISNONTEXT('Upis rezultata C sektora'!E4)=TRUE,"",'Upis rezultata C sektora'!E4)</f>
      </c>
      <c r="E73" s="91"/>
      <c r="F73" s="92">
        <f>IF(ISNUMBER('Prijava ekipa i izvlačenje br.'!B4)=FALSE,"",'Prijava ekipa i izvlačenje br.'!B4)</f>
      </c>
      <c r="G73" s="97">
        <f>IF((D73)="","","C")</f>
      </c>
      <c r="H73" s="97">
        <f>IF(ISNUMBER('Upis rezultata C sektora'!C4)=FALSE,"",'Upis rezultata C sektora'!C4)</f>
      </c>
    </row>
    <row r="74" spans="2:8" ht="12.75">
      <c r="B74" s="40"/>
      <c r="C74" s="29"/>
      <c r="D74" s="29"/>
      <c r="E74" s="25"/>
      <c r="F74" s="25"/>
      <c r="G74" s="25"/>
      <c r="H74" s="25"/>
    </row>
    <row r="76" spans="1:9" ht="12.75">
      <c r="A76" s="36"/>
      <c r="B76" s="41"/>
      <c r="C76" s="42" t="s">
        <v>66</v>
      </c>
      <c r="D76" s="43"/>
      <c r="E76" s="44" t="s">
        <v>67</v>
      </c>
      <c r="F76" s="43"/>
      <c r="G76" s="44" t="s">
        <v>68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69</v>
      </c>
      <c r="C81" s="6">
        <f>IF(ISNONTEXT('Organizacija natjecanja'!H26)=TRUE,"",'Organizacija natjecanja'!H26)</f>
      </c>
      <c r="F81" s="6" t="s">
        <v>70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60</v>
      </c>
    </row>
    <row r="89" ht="12.75">
      <c r="G89" s="18">
        <f>IF(ISNONTEXT('Organizacija natjecanja'!H5)=TRUE,"",'Organizacija natjecanja'!H5)</f>
      </c>
    </row>
    <row r="90" ht="12.75">
      <c r="G90" s="19" t="s">
        <v>61</v>
      </c>
    </row>
    <row r="92" spans="4:8" ht="18">
      <c r="D92" s="32"/>
      <c r="E92" s="32" t="s">
        <v>62</v>
      </c>
      <c r="F92" s="32"/>
      <c r="G92" s="32"/>
      <c r="H92" s="32"/>
    </row>
    <row r="94" spans="5:8" ht="15">
      <c r="E94" s="20">
        <f>IF(ISNONTEXT('Organizacija natjecanja'!H2)=TRUE,"",'Organizacija natjecanja'!H2)</f>
      </c>
      <c r="H94" s="21"/>
    </row>
    <row r="95" spans="4:8" ht="12.75">
      <c r="D95" s="7"/>
      <c r="E95" s="19" t="s">
        <v>63</v>
      </c>
      <c r="F95" s="7"/>
      <c r="G95" s="7"/>
      <c r="H95" s="7"/>
    </row>
    <row r="96" ht="12.75">
      <c r="D96" s="33"/>
    </row>
    <row r="97" spans="2:5" ht="15">
      <c r="B97" s="6" t="s">
        <v>51</v>
      </c>
      <c r="E97" s="20">
        <f>IF(ISNONTEXT('Upis rezultata C sektora'!D5)=TRUE,"",'Upis rezultata C sektora'!D5)</f>
      </c>
    </row>
    <row r="98" ht="12.75">
      <c r="E98" s="18"/>
    </row>
    <row r="99" spans="2:5" ht="12.75">
      <c r="B99" s="6" t="s">
        <v>52</v>
      </c>
      <c r="E99" s="18">
        <f>IF(ISNONTEXT('Organizacija natjecanja'!H9)=TRUE,"",'Organizacija natjecanja'!H9)</f>
      </c>
    </row>
    <row r="101" spans="1:9" ht="12.75">
      <c r="A101" s="36"/>
      <c r="B101" s="34" t="s">
        <v>71</v>
      </c>
      <c r="C101" s="34"/>
      <c r="D101" s="35" t="s">
        <v>54</v>
      </c>
      <c r="E101" s="34"/>
      <c r="F101" s="34" t="s">
        <v>64</v>
      </c>
      <c r="G101" s="35" t="s">
        <v>55</v>
      </c>
      <c r="H101" s="34" t="s">
        <v>65</v>
      </c>
      <c r="I101" s="36"/>
    </row>
    <row r="102" spans="2:8" ht="12.75">
      <c r="B102" s="37"/>
      <c r="C102" s="38"/>
      <c r="D102" s="38"/>
      <c r="E102" s="22"/>
      <c r="F102" s="22"/>
      <c r="G102" s="22"/>
      <c r="H102" s="39"/>
    </row>
    <row r="103" spans="2:8" s="68" customFormat="1" ht="15.75">
      <c r="B103" s="89">
        <f>VLOOKUP(D103,'Upis rezultata C sektora'!$E$2:$G$13,3,0)</f>
        <v>3</v>
      </c>
      <c r="C103" s="90"/>
      <c r="D103" s="96">
        <f>IF(ISNONTEXT('Upis rezultata C sektora'!E5)=TRUE,"",'Upis rezultata C sektora'!E5)</f>
      </c>
      <c r="E103" s="91"/>
      <c r="F103" s="92">
        <f>IF(ISNUMBER('Prijava ekipa i izvlačenje br.'!B5)=FALSE,"",'Prijava ekipa i izvlačenje br.'!B5)</f>
      </c>
      <c r="G103" s="97">
        <f>IF((D103)="","","C")</f>
      </c>
      <c r="H103" s="97">
        <f>IF(ISNUMBER('Upis rezultata C sektora'!C5)=FALSE,"",'Upis rezultata C sektora'!C5)</f>
      </c>
    </row>
    <row r="104" spans="2:8" ht="12.75">
      <c r="B104" s="40"/>
      <c r="C104" s="29"/>
      <c r="D104" s="29"/>
      <c r="E104" s="25"/>
      <c r="F104" s="25"/>
      <c r="G104" s="25"/>
      <c r="H104" s="25"/>
    </row>
    <row r="106" spans="1:9" ht="12.75">
      <c r="A106" s="36"/>
      <c r="B106" s="41"/>
      <c r="C106" s="42" t="s">
        <v>66</v>
      </c>
      <c r="D106" s="43"/>
      <c r="E106" s="44" t="s">
        <v>67</v>
      </c>
      <c r="F106" s="43"/>
      <c r="G106" s="44" t="s">
        <v>68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69</v>
      </c>
      <c r="C111" s="6">
        <f>IF(ISNONTEXT('Organizacija natjecanja'!H26)=TRUE,"",'Organizacija natjecanja'!H26)</f>
      </c>
      <c r="F111" s="6" t="s">
        <v>70</v>
      </c>
    </row>
    <row r="112" ht="12.75">
      <c r="B112" s="7"/>
    </row>
    <row r="113" ht="12.75">
      <c r="B113" s="7"/>
    </row>
    <row r="114" spans="2:3" ht="15">
      <c r="B114" s="31"/>
      <c r="C114" s="31" t="s">
        <v>60</v>
      </c>
    </row>
    <row r="115" ht="12.75">
      <c r="G115" s="18">
        <f>IF(ISNONTEXT('Organizacija natjecanja'!H5)=TRUE,"",'Organizacija natjecanja'!H5)</f>
      </c>
    </row>
    <row r="116" ht="12.75">
      <c r="G116" s="19" t="s">
        <v>61</v>
      </c>
    </row>
    <row r="118" spans="4:8" ht="18">
      <c r="D118" s="32"/>
      <c r="E118" s="32" t="s">
        <v>62</v>
      </c>
      <c r="F118" s="32"/>
      <c r="G118" s="32"/>
      <c r="H118" s="32"/>
    </row>
    <row r="120" spans="5:8" ht="15">
      <c r="E120" s="20">
        <f>IF(ISNONTEXT('Organizacija natjecanja'!H2)=TRUE,"",'Organizacija natjecanja'!H2)</f>
      </c>
      <c r="H120" s="21"/>
    </row>
    <row r="121" spans="4:8" ht="12.75">
      <c r="D121" s="7"/>
      <c r="E121" s="19" t="s">
        <v>63</v>
      </c>
      <c r="F121" s="7"/>
      <c r="G121" s="7"/>
      <c r="H121" s="7"/>
    </row>
    <row r="122" ht="12.75">
      <c r="D122" s="33"/>
    </row>
    <row r="123" spans="2:5" ht="15">
      <c r="B123" s="6" t="s">
        <v>59</v>
      </c>
      <c r="E123" s="20">
        <f>IF(ISNONTEXT('Upis rezultata C sektora'!D6)=TRUE,"",'Upis rezultata C sektora'!D6)</f>
      </c>
    </row>
    <row r="124" ht="12.75">
      <c r="E124" s="18"/>
    </row>
    <row r="125" spans="2:5" ht="12.75">
      <c r="B125" s="6" t="s">
        <v>52</v>
      </c>
      <c r="E125" s="18">
        <f>IF(ISNONTEXT('Organizacija natjecanja'!H9)=TRUE,"",'Organizacija natjecanja'!H9)</f>
      </c>
    </row>
    <row r="127" spans="1:9" ht="12.75">
      <c r="A127" s="36"/>
      <c r="B127" s="34" t="s">
        <v>53</v>
      </c>
      <c r="C127" s="34"/>
      <c r="D127" s="35" t="s">
        <v>54</v>
      </c>
      <c r="E127" s="34"/>
      <c r="F127" s="34" t="s">
        <v>64</v>
      </c>
      <c r="G127" s="35" t="s">
        <v>55</v>
      </c>
      <c r="H127" s="34" t="s">
        <v>65</v>
      </c>
      <c r="I127" s="36"/>
    </row>
    <row r="128" spans="2:8" ht="12.75">
      <c r="B128" s="37"/>
      <c r="C128" s="38"/>
      <c r="D128" s="38"/>
      <c r="E128" s="22"/>
      <c r="F128" s="22"/>
      <c r="G128" s="22"/>
      <c r="H128" s="39"/>
    </row>
    <row r="129" spans="2:8" s="68" customFormat="1" ht="15.75">
      <c r="B129" s="89">
        <f>VLOOKUP(D129,'Upis rezultata C sektora'!$E$2:$G$13,3,0)</f>
        <v>3</v>
      </c>
      <c r="C129" s="90"/>
      <c r="D129" s="96">
        <f>IF(ISNONTEXT('Upis rezultata C sektora'!E6)=TRUE,"",'Upis rezultata C sektora'!E6)</f>
      </c>
      <c r="E129" s="91"/>
      <c r="F129" s="92">
        <f>IF(ISNUMBER('Prijava ekipa i izvlačenje br.'!B6)=FALSE,"",'Prijava ekipa i izvlačenje br.'!B6)</f>
      </c>
      <c r="G129" s="97">
        <f>IF((D129)="","","C")</f>
      </c>
      <c r="H129" s="97">
        <f>IF(ISNUMBER('Upis rezultata C sektora'!C6)=FALSE,"",'Upis rezultata C sektora'!C6)</f>
      </c>
    </row>
    <row r="130" spans="2:8" ht="12.75">
      <c r="B130" s="40"/>
      <c r="C130" s="29"/>
      <c r="D130" s="29"/>
      <c r="E130" s="25"/>
      <c r="F130" s="25"/>
      <c r="G130" s="25"/>
      <c r="H130" s="25"/>
    </row>
    <row r="132" spans="1:9" ht="12.75">
      <c r="A132" s="36"/>
      <c r="B132" s="41"/>
      <c r="C132" s="42" t="s">
        <v>66</v>
      </c>
      <c r="D132" s="43"/>
      <c r="E132" s="44" t="s">
        <v>67</v>
      </c>
      <c r="F132" s="43"/>
      <c r="G132" s="44" t="s">
        <v>68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69</v>
      </c>
      <c r="C137" s="6">
        <f>IF(ISNONTEXT('Organizacija natjecanja'!H26)=TRUE,"",'Organizacija natjecanja'!H26)</f>
      </c>
      <c r="F137" s="6" t="s">
        <v>70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60</v>
      </c>
    </row>
    <row r="145" ht="12.75">
      <c r="G145" s="18">
        <f>IF(ISNONTEXT('Organizacija natjecanja'!H5)=TRUE,"",'Organizacija natjecanja'!H5)</f>
      </c>
    </row>
    <row r="146" ht="12.75">
      <c r="G146" s="19" t="s">
        <v>61</v>
      </c>
    </row>
    <row r="148" spans="4:8" ht="18">
      <c r="D148" s="32"/>
      <c r="E148" s="32" t="s">
        <v>62</v>
      </c>
      <c r="F148" s="32"/>
      <c r="G148" s="32"/>
      <c r="H148" s="32"/>
    </row>
    <row r="150" spans="5:8" ht="15">
      <c r="E150" s="20">
        <f>IF(ISNONTEXT('Organizacija natjecanja'!H2)=TRUE,"",'Organizacija natjecanja'!H2)</f>
      </c>
      <c r="H150" s="21"/>
    </row>
    <row r="151" spans="4:8" ht="12.75">
      <c r="D151" s="7"/>
      <c r="E151" s="19" t="s">
        <v>63</v>
      </c>
      <c r="F151" s="7"/>
      <c r="G151" s="7"/>
      <c r="H151" s="7"/>
    </row>
    <row r="152" ht="12.75">
      <c r="D152" s="33"/>
    </row>
    <row r="153" spans="2:5" ht="15">
      <c r="B153" s="6" t="s">
        <v>51</v>
      </c>
      <c r="E153" s="20">
        <f>IF(ISNONTEXT('Upis rezultata C sektora'!D7)=TRUE,"",'Upis rezultata C sektora'!D7)</f>
      </c>
    </row>
    <row r="154" ht="12.75">
      <c r="E154" s="18"/>
    </row>
    <row r="155" spans="2:5" ht="12.75">
      <c r="B155" s="6" t="s">
        <v>52</v>
      </c>
      <c r="E155" s="18">
        <f>IF(ISNONTEXT('Organizacija natjecanja'!H9)=TRUE,"",'Organizacija natjecanja'!H9)</f>
      </c>
    </row>
    <row r="157" spans="1:9" ht="12.75">
      <c r="A157" s="36"/>
      <c r="B157" s="34" t="s">
        <v>71</v>
      </c>
      <c r="C157" s="34"/>
      <c r="D157" s="35" t="s">
        <v>54</v>
      </c>
      <c r="E157" s="34"/>
      <c r="F157" s="34" t="s">
        <v>64</v>
      </c>
      <c r="G157" s="35" t="s">
        <v>55</v>
      </c>
      <c r="H157" s="34" t="s">
        <v>65</v>
      </c>
      <c r="I157" s="36"/>
    </row>
    <row r="158" spans="2:8" ht="12.75">
      <c r="B158" s="37"/>
      <c r="C158" s="38"/>
      <c r="D158" s="38"/>
      <c r="E158" s="22"/>
      <c r="F158" s="22"/>
      <c r="G158" s="22"/>
      <c r="H158" s="39"/>
    </row>
    <row r="159" spans="2:8" s="68" customFormat="1" ht="15.75">
      <c r="B159" s="89">
        <f>VLOOKUP(D159,'Upis rezultata C sektora'!$E$2:$G$13,3,0)</f>
        <v>3</v>
      </c>
      <c r="C159" s="90"/>
      <c r="D159" s="96">
        <f>IF(ISNONTEXT('Upis rezultata C sektora'!E7)=TRUE,"",'Upis rezultata C sektora'!E7)</f>
      </c>
      <c r="E159" s="91"/>
      <c r="F159" s="92">
        <f>IF(ISNUMBER('Prijava ekipa i izvlačenje br.'!B7)=FALSE,"",'Prijava ekipa i izvlačenje br.'!B7)</f>
      </c>
      <c r="G159" s="97">
        <f>IF((D159)="","","C")</f>
      </c>
      <c r="H159" s="97">
        <f>IF(ISNUMBER('Upis rezultata C sektora'!C7)=FALSE,"",'Upis rezultata C sektora'!C7)</f>
      </c>
    </row>
    <row r="160" spans="2:8" ht="12.75">
      <c r="B160" s="40"/>
      <c r="C160" s="29"/>
      <c r="D160" s="29"/>
      <c r="E160" s="25"/>
      <c r="F160" s="25"/>
      <c r="G160" s="25"/>
      <c r="H160" s="25"/>
    </row>
    <row r="162" spans="1:9" ht="12.75">
      <c r="A162" s="36"/>
      <c r="B162" s="41"/>
      <c r="C162" s="42" t="s">
        <v>66</v>
      </c>
      <c r="D162" s="43"/>
      <c r="E162" s="44" t="s">
        <v>67</v>
      </c>
      <c r="F162" s="43"/>
      <c r="G162" s="44" t="s">
        <v>68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69</v>
      </c>
      <c r="C167" s="6">
        <f>IF(ISNONTEXT('Organizacija natjecanja'!H26)=TRUE,"",'Organizacija natjecanja'!H26)</f>
      </c>
      <c r="F167" s="6" t="s">
        <v>70</v>
      </c>
    </row>
    <row r="168" ht="12.75">
      <c r="B168" s="7"/>
    </row>
    <row r="169" ht="12.75">
      <c r="B169" s="7"/>
    </row>
    <row r="170" spans="2:3" ht="15">
      <c r="B170" s="31"/>
      <c r="C170" s="31" t="s">
        <v>60</v>
      </c>
    </row>
    <row r="171" ht="12.75">
      <c r="G171" s="18">
        <f>IF(ISNONTEXT('Organizacija natjecanja'!H5)=TRUE,"",'Organizacija natjecanja'!H5)</f>
      </c>
    </row>
    <row r="172" ht="12.75">
      <c r="G172" s="19" t="s">
        <v>61</v>
      </c>
    </row>
    <row r="174" spans="4:8" ht="18">
      <c r="D174" s="32"/>
      <c r="E174" s="32" t="s">
        <v>62</v>
      </c>
      <c r="F174" s="32"/>
      <c r="G174" s="32"/>
      <c r="H174" s="32"/>
    </row>
    <row r="176" spans="5:8" ht="15">
      <c r="E176" s="20">
        <f>IF(ISNONTEXT('Organizacija natjecanja'!H2)=TRUE,"",'Organizacija natjecanja'!H2)</f>
      </c>
      <c r="H176" s="21"/>
    </row>
    <row r="177" spans="4:8" ht="12.75">
      <c r="D177" s="7"/>
      <c r="E177" s="19" t="s">
        <v>63</v>
      </c>
      <c r="F177" s="7"/>
      <c r="G177" s="7"/>
      <c r="H177" s="7"/>
    </row>
    <row r="178" ht="12.75">
      <c r="D178" s="33"/>
    </row>
    <row r="179" spans="2:5" ht="15">
      <c r="B179" s="6" t="s">
        <v>59</v>
      </c>
      <c r="E179" s="20">
        <f>IF(ISNONTEXT('Upis rezultata C sektora'!D8)=TRUE,"",'Upis rezultata C sektora'!D8)</f>
      </c>
    </row>
    <row r="180" ht="12.75">
      <c r="E180" s="18"/>
    </row>
    <row r="181" spans="2:5" ht="12.75">
      <c r="B181" s="6" t="s">
        <v>52</v>
      </c>
      <c r="E181" s="18">
        <f>IF(ISNONTEXT('Organizacija natjecanja'!H9)=TRUE,"",'Organizacija natjecanja'!H9)</f>
      </c>
    </row>
    <row r="183" spans="1:9" ht="12.75">
      <c r="A183" s="36"/>
      <c r="B183" s="34" t="s">
        <v>53</v>
      </c>
      <c r="C183" s="34"/>
      <c r="D183" s="35" t="s">
        <v>54</v>
      </c>
      <c r="E183" s="34"/>
      <c r="F183" s="34" t="s">
        <v>64</v>
      </c>
      <c r="G183" s="35" t="s">
        <v>55</v>
      </c>
      <c r="H183" s="34" t="s">
        <v>65</v>
      </c>
      <c r="I183" s="36"/>
    </row>
    <row r="184" spans="2:8" ht="12.75">
      <c r="B184" s="37"/>
      <c r="C184" s="38"/>
      <c r="D184" s="38"/>
      <c r="E184" s="22"/>
      <c r="F184" s="22"/>
      <c r="G184" s="22"/>
      <c r="H184" s="39"/>
    </row>
    <row r="185" spans="2:8" s="68" customFormat="1" ht="15.75">
      <c r="B185" s="89">
        <f>VLOOKUP(D185,'Upis rezultata C sektora'!$E$2:$G$13,3,0)</f>
        <v>3</v>
      </c>
      <c r="C185" s="90"/>
      <c r="D185" s="96">
        <f>IF(ISNONTEXT('Upis rezultata C sektora'!E8)=TRUE,"",'Upis rezultata C sektora'!E8)</f>
      </c>
      <c r="E185" s="91"/>
      <c r="F185" s="92">
        <f>IF(ISNUMBER('Prijava ekipa i izvlačenje br.'!B8)=FALSE,"",'Prijava ekipa i izvlačenje br.'!B8)</f>
      </c>
      <c r="G185" s="97">
        <f>IF((D185)="","","C")</f>
      </c>
      <c r="H185" s="97">
        <f>IF(ISNUMBER('Upis rezultata C sektora'!C8)=FALSE,"",'Upis rezultata C sektora'!C8)</f>
      </c>
    </row>
    <row r="186" spans="2:8" ht="12.75">
      <c r="B186" s="40"/>
      <c r="C186" s="29"/>
      <c r="D186" s="29"/>
      <c r="E186" s="25"/>
      <c r="F186" s="25"/>
      <c r="G186" s="25"/>
      <c r="H186" s="25"/>
    </row>
    <row r="188" spans="1:9" ht="12.75">
      <c r="A188" s="36"/>
      <c r="B188" s="41"/>
      <c r="C188" s="42" t="s">
        <v>66</v>
      </c>
      <c r="D188" s="43"/>
      <c r="E188" s="44" t="s">
        <v>67</v>
      </c>
      <c r="F188" s="43"/>
      <c r="G188" s="44" t="s">
        <v>68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69</v>
      </c>
      <c r="C193" s="6">
        <f>IF(ISNONTEXT('Organizacija natjecanja'!H26)=TRUE,"",'Organizacija natjecanja'!H26)</f>
      </c>
      <c r="F193" s="6" t="s">
        <v>70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60</v>
      </c>
    </row>
    <row r="201" ht="12.75">
      <c r="G201" s="18">
        <f>IF(ISNONTEXT('Organizacija natjecanja'!H5)=TRUE,"",'Organizacija natjecanja'!H5)</f>
      </c>
    </row>
    <row r="202" ht="12.75">
      <c r="G202" s="19" t="s">
        <v>61</v>
      </c>
    </row>
    <row r="204" spans="4:8" ht="18">
      <c r="D204" s="32"/>
      <c r="E204" s="32" t="s">
        <v>62</v>
      </c>
      <c r="F204" s="32"/>
      <c r="G204" s="32"/>
      <c r="H204" s="32"/>
    </row>
    <row r="206" spans="5:8" ht="15">
      <c r="E206" s="20">
        <f>IF(ISNONTEXT('Organizacija natjecanja'!H2)=TRUE,"",'Organizacija natjecanja'!H2)</f>
      </c>
      <c r="H206" s="21"/>
    </row>
    <row r="207" spans="4:8" ht="12.75">
      <c r="D207" s="7"/>
      <c r="E207" s="19" t="s">
        <v>63</v>
      </c>
      <c r="F207" s="7"/>
      <c r="G207" s="7"/>
      <c r="H207" s="7"/>
    </row>
    <row r="208" ht="12.75">
      <c r="D208" s="33"/>
    </row>
    <row r="209" spans="2:5" ht="15">
      <c r="B209" s="6" t="s">
        <v>51</v>
      </c>
      <c r="E209" s="20">
        <f>IF(ISNONTEXT('Upis rezultata C sektora'!D9)=TRUE,"",'Upis rezultata C sektora'!D9)</f>
      </c>
    </row>
    <row r="210" ht="12.75">
      <c r="E210" s="18"/>
    </row>
    <row r="211" spans="2:5" ht="12.75">
      <c r="B211" s="6" t="s">
        <v>52</v>
      </c>
      <c r="E211" s="18">
        <f>IF(ISNONTEXT('Organizacija natjecanja'!H9)=TRUE,"",'Organizacija natjecanja'!H9)</f>
      </c>
    </row>
    <row r="213" spans="1:9" ht="12.75">
      <c r="A213" s="36"/>
      <c r="B213" s="34" t="s">
        <v>71</v>
      </c>
      <c r="C213" s="34"/>
      <c r="D213" s="35" t="s">
        <v>54</v>
      </c>
      <c r="E213" s="34"/>
      <c r="F213" s="34" t="s">
        <v>64</v>
      </c>
      <c r="G213" s="35" t="s">
        <v>55</v>
      </c>
      <c r="H213" s="34" t="s">
        <v>65</v>
      </c>
      <c r="I213" s="36"/>
    </row>
    <row r="214" spans="2:8" ht="12.75">
      <c r="B214" s="37"/>
      <c r="C214" s="38"/>
      <c r="D214" s="38"/>
      <c r="E214" s="22"/>
      <c r="F214" s="22"/>
      <c r="G214" s="22"/>
      <c r="H214" s="39"/>
    </row>
    <row r="215" spans="2:8" s="68" customFormat="1" ht="15.75">
      <c r="B215" s="89">
        <f>VLOOKUP(D215,'Upis rezultata C sektora'!$E$2:$G$13,3,0)</f>
        <v>3</v>
      </c>
      <c r="C215" s="90"/>
      <c r="D215" s="96">
        <f>IF(ISNONTEXT('Upis rezultata C sektora'!E9)=TRUE,"",'Upis rezultata C sektora'!E9)</f>
      </c>
      <c r="E215" s="91"/>
      <c r="F215" s="92">
        <f>IF(ISNUMBER('Prijava ekipa i izvlačenje br.'!B9)=FALSE,"",'Prijava ekipa i izvlačenje br.'!B9)</f>
      </c>
      <c r="G215" s="97">
        <f>IF((D215)="","","C")</f>
      </c>
      <c r="H215" s="97">
        <f>IF(ISNUMBER('Upis rezultata C sektora'!C9)=FALSE,"",'Upis rezultata C sektora'!C9)</f>
      </c>
    </row>
    <row r="216" spans="2:8" ht="12.75">
      <c r="B216" s="40"/>
      <c r="C216" s="29"/>
      <c r="D216" s="29"/>
      <c r="E216" s="25"/>
      <c r="F216" s="25"/>
      <c r="G216" s="25"/>
      <c r="H216" s="25"/>
    </row>
    <row r="218" spans="1:9" ht="12.75">
      <c r="A218" s="36"/>
      <c r="B218" s="41"/>
      <c r="C218" s="42" t="s">
        <v>66</v>
      </c>
      <c r="D218" s="43"/>
      <c r="E218" s="44" t="s">
        <v>67</v>
      </c>
      <c r="F218" s="43"/>
      <c r="G218" s="44" t="s">
        <v>68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69</v>
      </c>
      <c r="C223" s="6">
        <f>IF(ISNONTEXT('Organizacija natjecanja'!H26)=TRUE,"",'Organizacija natjecanja'!H26)</f>
      </c>
      <c r="F223" s="6" t="s">
        <v>70</v>
      </c>
    </row>
    <row r="224" ht="12.75">
      <c r="B224" s="7"/>
    </row>
    <row r="225" ht="12.75">
      <c r="B225" s="7"/>
    </row>
    <row r="226" spans="2:3" ht="15">
      <c r="B226" s="31"/>
      <c r="C226" s="31" t="s">
        <v>60</v>
      </c>
    </row>
    <row r="227" ht="12.75">
      <c r="G227" s="18">
        <f>IF(ISNONTEXT('Organizacija natjecanja'!H5)=TRUE,"",'Organizacija natjecanja'!H5)</f>
      </c>
    </row>
    <row r="228" ht="12.75">
      <c r="G228" s="19" t="s">
        <v>61</v>
      </c>
    </row>
    <row r="230" spans="4:8" ht="18">
      <c r="D230" s="32"/>
      <c r="E230" s="32" t="s">
        <v>62</v>
      </c>
      <c r="F230" s="32"/>
      <c r="G230" s="32"/>
      <c r="H230" s="32"/>
    </row>
    <row r="232" spans="5:8" ht="15">
      <c r="E232" s="20">
        <f>IF(ISNONTEXT('Organizacija natjecanja'!H2)=TRUE,"",'Organizacija natjecanja'!H2)</f>
      </c>
      <c r="H232" s="21"/>
    </row>
    <row r="233" spans="4:8" ht="12.75">
      <c r="D233" s="7"/>
      <c r="E233" s="19" t="s">
        <v>63</v>
      </c>
      <c r="F233" s="7"/>
      <c r="G233" s="7"/>
      <c r="H233" s="7"/>
    </row>
    <row r="234" ht="12.75">
      <c r="D234" s="33"/>
    </row>
    <row r="235" spans="2:5" ht="15">
      <c r="B235" s="6" t="s">
        <v>59</v>
      </c>
      <c r="E235" s="20">
        <f>IF(ISNONTEXT('Upis rezultata C sektora'!D10)=TRUE,"",'Upis rezultata C sektora'!D10)</f>
      </c>
    </row>
    <row r="236" ht="12.75">
      <c r="E236" s="18"/>
    </row>
    <row r="237" spans="2:5" ht="12.75">
      <c r="B237" s="6" t="s">
        <v>52</v>
      </c>
      <c r="E237" s="18">
        <f>IF(ISNONTEXT('Organizacija natjecanja'!H9)=TRUE,"",'Organizacija natjecanja'!H9)</f>
      </c>
    </row>
    <row r="239" spans="1:9" ht="12.75">
      <c r="A239" s="36"/>
      <c r="B239" s="34" t="s">
        <v>53</v>
      </c>
      <c r="C239" s="34"/>
      <c r="D239" s="35" t="s">
        <v>54</v>
      </c>
      <c r="E239" s="34"/>
      <c r="F239" s="34" t="s">
        <v>64</v>
      </c>
      <c r="G239" s="35" t="s">
        <v>55</v>
      </c>
      <c r="H239" s="34" t="s">
        <v>65</v>
      </c>
      <c r="I239" s="36"/>
    </row>
    <row r="240" spans="2:8" ht="12.75">
      <c r="B240" s="37"/>
      <c r="C240" s="38"/>
      <c r="D240" s="38"/>
      <c r="E240" s="22"/>
      <c r="F240" s="22"/>
      <c r="G240" s="22"/>
      <c r="H240" s="39"/>
    </row>
    <row r="241" spans="2:8" s="68" customFormat="1" ht="15.75">
      <c r="B241" s="89">
        <f>VLOOKUP(D241,'Upis rezultata C sektora'!$E$2:$G$13,3,0)</f>
        <v>3</v>
      </c>
      <c r="C241" s="90"/>
      <c r="D241" s="96">
        <f>IF(ISNONTEXT('Upis rezultata C sektora'!E10)=TRUE,"",'Upis rezultata C sektora'!E10)</f>
      </c>
      <c r="E241" s="91"/>
      <c r="F241" s="92">
        <f>IF(ISNUMBER('Prijava ekipa i izvlačenje br.'!B10)=FALSE,"",'Prijava ekipa i izvlačenje br.'!B10)</f>
      </c>
      <c r="G241" s="97">
        <f>IF((D241)="","","C")</f>
      </c>
      <c r="H241" s="97">
        <f>IF(ISNUMBER('Upis rezultata C sektora'!C10)=FALSE,"",'Upis rezultata C sektora'!C10)</f>
      </c>
    </row>
    <row r="242" spans="2:8" ht="12.75">
      <c r="B242" s="40"/>
      <c r="C242" s="29"/>
      <c r="D242" s="29"/>
      <c r="E242" s="25"/>
      <c r="F242" s="25"/>
      <c r="G242" s="25"/>
      <c r="H242" s="25"/>
    </row>
    <row r="244" spans="1:9" ht="12.75">
      <c r="A244" s="36"/>
      <c r="B244" s="41"/>
      <c r="C244" s="42" t="s">
        <v>66</v>
      </c>
      <c r="D244" s="43"/>
      <c r="E244" s="44" t="s">
        <v>67</v>
      </c>
      <c r="F244" s="43"/>
      <c r="G244" s="44" t="s">
        <v>68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69</v>
      </c>
      <c r="C249" s="6">
        <f>IF(ISNONTEXT('Organizacija natjecanja'!H26)=TRUE,"",'Organizacija natjecanja'!H26)</f>
      </c>
      <c r="F249" s="6" t="s">
        <v>70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60</v>
      </c>
    </row>
    <row r="257" ht="12.75">
      <c r="G257" s="18">
        <f>IF(ISNONTEXT('Organizacija natjecanja'!H5)=TRUE,"",'Organizacija natjecanja'!H5)</f>
      </c>
    </row>
    <row r="258" ht="12.75">
      <c r="G258" s="19" t="s">
        <v>61</v>
      </c>
    </row>
    <row r="260" spans="4:8" ht="18">
      <c r="D260" s="32"/>
      <c r="E260" s="32" t="s">
        <v>62</v>
      </c>
      <c r="F260" s="32"/>
      <c r="G260" s="32"/>
      <c r="H260" s="32"/>
    </row>
    <row r="262" spans="5:8" ht="15">
      <c r="E262" s="20">
        <f>IF(ISNONTEXT('Organizacija natjecanja'!H2)=TRUE,"",'Organizacija natjecanja'!H2)</f>
      </c>
      <c r="H262" s="21"/>
    </row>
    <row r="263" spans="4:8" ht="12.75">
      <c r="D263" s="7"/>
      <c r="E263" s="19" t="s">
        <v>63</v>
      </c>
      <c r="F263" s="7"/>
      <c r="G263" s="7"/>
      <c r="H263" s="7"/>
    </row>
    <row r="264" ht="12.75">
      <c r="D264" s="33"/>
    </row>
    <row r="265" spans="2:5" ht="15">
      <c r="B265" s="6" t="s">
        <v>51</v>
      </c>
      <c r="E265" s="20">
        <f>IF(ISNONTEXT('Upis rezultata C sektora'!D11)=TRUE,"",'Upis rezultata C sektora'!D11)</f>
      </c>
    </row>
    <row r="266" ht="12.75">
      <c r="E266" s="18"/>
    </row>
    <row r="267" spans="2:5" ht="12.75">
      <c r="B267" s="6" t="s">
        <v>52</v>
      </c>
      <c r="E267" s="18">
        <f>IF(ISNONTEXT('Organizacija natjecanja'!H9)=TRUE,"",'Organizacija natjecanja'!H9)</f>
      </c>
    </row>
    <row r="269" spans="1:9" ht="12.75">
      <c r="A269" s="36"/>
      <c r="B269" s="34" t="s">
        <v>71</v>
      </c>
      <c r="C269" s="34"/>
      <c r="D269" s="35" t="s">
        <v>54</v>
      </c>
      <c r="E269" s="34"/>
      <c r="F269" s="34" t="s">
        <v>64</v>
      </c>
      <c r="G269" s="35" t="s">
        <v>55</v>
      </c>
      <c r="H269" s="34" t="s">
        <v>65</v>
      </c>
      <c r="I269" s="36"/>
    </row>
    <row r="270" spans="2:8" ht="12.75">
      <c r="B270" s="37"/>
      <c r="C270" s="38"/>
      <c r="D270" s="38"/>
      <c r="E270" s="22"/>
      <c r="F270" s="22"/>
      <c r="G270" s="22"/>
      <c r="H270" s="39"/>
    </row>
    <row r="271" spans="2:8" s="68" customFormat="1" ht="15.75">
      <c r="B271" s="89">
        <f>VLOOKUP(D271,'Upis rezultata C sektora'!$E$2:$G$13,3,0)</f>
        <v>3</v>
      </c>
      <c r="C271" s="90"/>
      <c r="D271" s="96">
        <f>IF(ISNONTEXT('Upis rezultata C sektora'!E11)=TRUE,"",'Upis rezultata C sektora'!E11)</f>
      </c>
      <c r="E271" s="91"/>
      <c r="F271" s="92">
        <f>IF(ISNUMBER('Prijava ekipa i izvlačenje br.'!B11)=FALSE,"",'Prijava ekipa i izvlačenje br.'!B11)</f>
      </c>
      <c r="G271" s="97">
        <f>IF((D271)="","","C")</f>
      </c>
      <c r="H271" s="97">
        <f>IF(ISNUMBER('Upis rezultata C sektora'!C11)=FALSE,"",'Upis rezultata C sektora'!C11)</f>
      </c>
    </row>
    <row r="272" spans="2:8" ht="12.75">
      <c r="B272" s="40"/>
      <c r="C272" s="29"/>
      <c r="D272" s="29"/>
      <c r="E272" s="25"/>
      <c r="F272" s="25"/>
      <c r="G272" s="25"/>
      <c r="H272" s="25"/>
    </row>
    <row r="274" spans="1:9" ht="12.75">
      <c r="A274" s="36"/>
      <c r="B274" s="41"/>
      <c r="C274" s="42" t="s">
        <v>66</v>
      </c>
      <c r="D274" s="43"/>
      <c r="E274" s="44" t="s">
        <v>67</v>
      </c>
      <c r="F274" s="43"/>
      <c r="G274" s="44" t="s">
        <v>68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69</v>
      </c>
      <c r="C279" s="6">
        <f>IF(ISNONTEXT('Organizacija natjecanja'!H26)=TRUE,"",'Organizacija natjecanja'!H26)</f>
      </c>
      <c r="F279" s="6" t="s">
        <v>70</v>
      </c>
    </row>
    <row r="280" ht="12.75">
      <c r="B280" s="7"/>
    </row>
    <row r="281" ht="12.75">
      <c r="B281" s="7"/>
    </row>
    <row r="282" spans="2:3" ht="15">
      <c r="B282" s="31"/>
      <c r="C282" s="31" t="s">
        <v>60</v>
      </c>
    </row>
    <row r="283" ht="12.75">
      <c r="G283" s="18">
        <f>IF(ISNONTEXT('Organizacija natjecanja'!H5)=TRUE,"",'Organizacija natjecanja'!H5)</f>
      </c>
    </row>
    <row r="284" ht="12.75">
      <c r="G284" s="19" t="s">
        <v>61</v>
      </c>
    </row>
    <row r="286" spans="4:8" ht="18">
      <c r="D286" s="32"/>
      <c r="E286" s="32" t="s">
        <v>62</v>
      </c>
      <c r="F286" s="32"/>
      <c r="G286" s="32"/>
      <c r="H286" s="32"/>
    </row>
    <row r="288" spans="5:8" ht="15">
      <c r="E288" s="20">
        <f>IF(ISNONTEXT('Organizacija natjecanja'!H2)=TRUE,"",'Organizacija natjecanja'!H2)</f>
      </c>
      <c r="H288" s="21"/>
    </row>
    <row r="289" spans="4:8" ht="12.75">
      <c r="D289" s="7"/>
      <c r="E289" s="19" t="s">
        <v>63</v>
      </c>
      <c r="F289" s="7"/>
      <c r="G289" s="7"/>
      <c r="H289" s="7"/>
    </row>
    <row r="290" ht="12.75">
      <c r="D290" s="33"/>
    </row>
    <row r="291" spans="2:5" ht="15">
      <c r="B291" s="6" t="s">
        <v>59</v>
      </c>
      <c r="E291" s="20">
        <f>IF(ISNONTEXT('Upis rezultata C sektora'!D12)=TRUE,"",'Upis rezultata C sektora'!D12)</f>
      </c>
    </row>
    <row r="292" ht="12.75">
      <c r="E292" s="18"/>
    </row>
    <row r="293" spans="2:5" ht="12.75">
      <c r="B293" s="6" t="s">
        <v>52</v>
      </c>
      <c r="E293" s="18">
        <f>IF(ISNONTEXT('Organizacija natjecanja'!H9)=TRUE,"",'Organizacija natjecanja'!H9)</f>
      </c>
    </row>
    <row r="295" spans="1:9" ht="12.75">
      <c r="A295" s="36"/>
      <c r="B295" s="34" t="s">
        <v>53</v>
      </c>
      <c r="C295" s="34"/>
      <c r="D295" s="35" t="s">
        <v>54</v>
      </c>
      <c r="E295" s="34"/>
      <c r="F295" s="34" t="s">
        <v>64</v>
      </c>
      <c r="G295" s="35" t="s">
        <v>55</v>
      </c>
      <c r="H295" s="34" t="s">
        <v>65</v>
      </c>
      <c r="I295" s="36"/>
    </row>
    <row r="296" spans="2:8" ht="12.75">
      <c r="B296" s="37"/>
      <c r="C296" s="38"/>
      <c r="D296" s="38"/>
      <c r="E296" s="22"/>
      <c r="F296" s="22"/>
      <c r="G296" s="22"/>
      <c r="H296" s="39"/>
    </row>
    <row r="297" spans="2:8" s="68" customFormat="1" ht="15.75">
      <c r="B297" s="89">
        <f>VLOOKUP(D297,'Upis rezultata C sektora'!$E$2:$G$13,3,0)</f>
        <v>3</v>
      </c>
      <c r="C297" s="90"/>
      <c r="D297" s="96">
        <f>IF(ISNONTEXT('Upis rezultata C sektora'!E12)=TRUE,"",'Upis rezultata C sektora'!E12)</f>
      </c>
      <c r="E297" s="91"/>
      <c r="F297" s="92">
        <f>IF(ISNUMBER('Prijava ekipa i izvlačenje br.'!B12)=FALSE,"",'Prijava ekipa i izvlačenje br.'!B12)</f>
      </c>
      <c r="G297" s="97">
        <f>IF((D297)="","","C")</f>
      </c>
      <c r="H297" s="97">
        <f>IF(ISNUMBER('Upis rezultata C sektora'!C12)=FALSE,"",'Upis rezultata C sektora'!C12)</f>
      </c>
    </row>
    <row r="298" spans="2:8" ht="12.75">
      <c r="B298" s="40"/>
      <c r="C298" s="29"/>
      <c r="D298" s="29"/>
      <c r="E298" s="25"/>
      <c r="F298" s="25"/>
      <c r="G298" s="25"/>
      <c r="H298" s="25"/>
    </row>
    <row r="300" spans="1:9" ht="12.75">
      <c r="A300" s="36"/>
      <c r="B300" s="41"/>
      <c r="C300" s="42" t="s">
        <v>66</v>
      </c>
      <c r="D300" s="43"/>
      <c r="E300" s="44" t="s">
        <v>67</v>
      </c>
      <c r="F300" s="43"/>
      <c r="G300" s="44" t="s">
        <v>68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69</v>
      </c>
      <c r="C305" s="6">
        <f>IF(ISNONTEXT('Organizacija natjecanja'!H26)=TRUE,"",'Organizacija natjecanja'!H26)</f>
      </c>
      <c r="F305" s="6" t="s">
        <v>70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60</v>
      </c>
    </row>
    <row r="313" ht="12.75">
      <c r="G313" s="18">
        <f>IF(ISNONTEXT('Organizacija natjecanja'!H5)=TRUE,"",'Organizacija natjecanja'!H5)</f>
      </c>
    </row>
    <row r="314" ht="12.75">
      <c r="G314" s="19" t="s">
        <v>61</v>
      </c>
    </row>
    <row r="316" spans="4:8" ht="18">
      <c r="D316" s="32"/>
      <c r="E316" s="32" t="s">
        <v>62</v>
      </c>
      <c r="F316" s="32"/>
      <c r="G316" s="32"/>
      <c r="H316" s="32"/>
    </row>
    <row r="318" spans="5:8" ht="15">
      <c r="E318" s="20">
        <f>IF(ISNONTEXT('Organizacija natjecanja'!H2)=TRUE,"",'Organizacija natjecanja'!H2)</f>
      </c>
      <c r="H318" s="21"/>
    </row>
    <row r="319" spans="4:8" ht="12.75">
      <c r="D319" s="7"/>
      <c r="E319" s="19" t="s">
        <v>63</v>
      </c>
      <c r="F319" s="7"/>
      <c r="G319" s="7"/>
      <c r="H319" s="7"/>
    </row>
    <row r="320" ht="12.75">
      <c r="D320" s="33"/>
    </row>
    <row r="321" spans="2:5" ht="15">
      <c r="B321" s="6" t="s">
        <v>51</v>
      </c>
      <c r="E321" s="20">
        <f>IF(ISNONTEXT('Upis rezultata C sektora'!D13)=TRUE,"",'Upis rezultata C sektora'!D13)</f>
      </c>
    </row>
    <row r="322" ht="12.75">
      <c r="E322" s="18"/>
    </row>
    <row r="323" spans="2:5" ht="12.75">
      <c r="B323" s="6" t="s">
        <v>52</v>
      </c>
      <c r="E323" s="18">
        <f>IF(ISNONTEXT('Organizacija natjecanja'!H9)=TRUE,"",'Organizacija natjecanja'!H9)</f>
      </c>
    </row>
    <row r="325" spans="1:9" ht="12.75">
      <c r="A325" s="36"/>
      <c r="B325" s="34" t="s">
        <v>71</v>
      </c>
      <c r="C325" s="34"/>
      <c r="D325" s="35" t="s">
        <v>54</v>
      </c>
      <c r="E325" s="34"/>
      <c r="F325" s="34" t="s">
        <v>64</v>
      </c>
      <c r="G325" s="35" t="s">
        <v>55</v>
      </c>
      <c r="H325" s="34" t="s">
        <v>65</v>
      </c>
      <c r="I325" s="36"/>
    </row>
    <row r="326" spans="2:8" ht="12.75">
      <c r="B326" s="37"/>
      <c r="C326" s="38"/>
      <c r="D326" s="38"/>
      <c r="E326" s="22"/>
      <c r="F326" s="22"/>
      <c r="G326" s="22"/>
      <c r="H326" s="39"/>
    </row>
    <row r="327" spans="2:8" s="68" customFormat="1" ht="15.75">
      <c r="B327" s="89">
        <f>VLOOKUP(D327,'Upis rezultata C sektora'!$E$2:$G$13,3,0)</f>
        <v>3</v>
      </c>
      <c r="C327" s="90"/>
      <c r="D327" s="96">
        <f>IF(ISNONTEXT('Upis rezultata C sektora'!E13)=TRUE,"",'Upis rezultata C sektora'!E13)</f>
      </c>
      <c r="E327" s="91"/>
      <c r="F327" s="92">
        <f>IF(ISNUMBER('Prijava ekipa i izvlačenje br.'!B13)=FALSE,"",'Prijava ekipa i izvlačenje br.'!B13)</f>
      </c>
      <c r="G327" s="97">
        <f>IF((D327)="","","C")</f>
      </c>
      <c r="H327" s="97">
        <f>IF(ISNUMBER('Upis rezultata C sektora'!C13)=FALSE,"",'Upis rezultata C sektora'!C13)</f>
      </c>
    </row>
    <row r="328" spans="2:8" ht="12.75">
      <c r="B328" s="40"/>
      <c r="C328" s="29"/>
      <c r="D328" s="29"/>
      <c r="E328" s="25"/>
      <c r="F328" s="25"/>
      <c r="G328" s="25"/>
      <c r="H328" s="25"/>
    </row>
    <row r="330" spans="1:9" ht="12.75">
      <c r="A330" s="36"/>
      <c r="B330" s="41"/>
      <c r="C330" s="42" t="s">
        <v>66</v>
      </c>
      <c r="D330" s="43"/>
      <c r="E330" s="44" t="s">
        <v>67</v>
      </c>
      <c r="F330" s="43"/>
      <c r="G330" s="44" t="s">
        <v>68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69</v>
      </c>
      <c r="C335" s="6">
        <f>IF(ISNONTEXT('Organizacija natjecanja'!H26)=TRUE,"",'Organizacija natjecanja'!H26)</f>
      </c>
      <c r="F335" s="6" t="s">
        <v>70</v>
      </c>
    </row>
    <row r="336" ht="12.75">
      <c r="B336" s="7"/>
    </row>
  </sheetData>
  <sheetProtection password="C7E2" sheet="1" objects="1" scenarios="1"/>
  <printOptions/>
  <pageMargins left="0.7874015748031497" right="0.7874015748031497" top="0.75" bottom="0.79" header="0.66" footer="0.4724409448818898"/>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8.xml><?xml version="1.0" encoding="utf-8"?>
<worksheet xmlns="http://schemas.openxmlformats.org/spreadsheetml/2006/main" xmlns:r="http://schemas.openxmlformats.org/officeDocument/2006/relationships">
  <sheetPr codeName="Sheet14">
    <tabColor indexed="11"/>
  </sheetPr>
  <dimension ref="A2:I336"/>
  <sheetViews>
    <sheetView showGridLines="0" showRowColHeaders="0" zoomScalePageLayoutView="0" workbookViewId="0" topLeftCell="A1">
      <selection activeCell="K22" sqref="K22"/>
    </sheetView>
  </sheetViews>
  <sheetFormatPr defaultColWidth="9.140625" defaultRowHeight="12.75"/>
  <cols>
    <col min="1" max="16384" width="9.140625" style="6" customWidth="1"/>
  </cols>
  <sheetData>
    <row r="2" spans="2:8" ht="15">
      <c r="B2" s="31"/>
      <c r="C2" s="31" t="s">
        <v>60</v>
      </c>
      <c r="H2" s="8"/>
    </row>
    <row r="3" ht="12.75">
      <c r="G3" s="18">
        <f>IF(ISNONTEXT('Organizacija natjecanja'!H5)=TRUE,"",'Organizacija natjecanja'!H5)</f>
      </c>
    </row>
    <row r="4" ht="12.75">
      <c r="G4" s="19" t="s">
        <v>61</v>
      </c>
    </row>
    <row r="5" ht="12.75">
      <c r="H5" s="8"/>
    </row>
    <row r="6" spans="4:8" ht="18">
      <c r="D6" s="32"/>
      <c r="E6" s="32" t="s">
        <v>62</v>
      </c>
      <c r="F6" s="32"/>
      <c r="G6" s="32"/>
      <c r="H6" s="32"/>
    </row>
    <row r="8" spans="5:8" ht="15">
      <c r="E8" s="20">
        <f>IF(ISNONTEXT('Organizacija natjecanja'!H2)=TRUE,"",'Organizacija natjecanja'!H2)</f>
      </c>
      <c r="H8" s="21"/>
    </row>
    <row r="9" spans="4:8" ht="12.75">
      <c r="D9" s="7"/>
      <c r="E9" s="19" t="s">
        <v>63</v>
      </c>
      <c r="F9" s="7"/>
      <c r="G9" s="7"/>
      <c r="H9" s="7"/>
    </row>
    <row r="10" ht="12.75">
      <c r="D10" s="33"/>
    </row>
    <row r="11" spans="2:5" ht="15">
      <c r="B11" s="6" t="s">
        <v>59</v>
      </c>
      <c r="E11" s="20">
        <f>IF(ISNONTEXT('Upis rezultata C sektora'!D2)=TRUE,"",'Upis rezultata C sektora'!D2)</f>
      </c>
    </row>
    <row r="12" ht="12.75">
      <c r="E12" s="18"/>
    </row>
    <row r="13" spans="2:5" ht="12.75">
      <c r="B13" s="6" t="s">
        <v>52</v>
      </c>
      <c r="E13" s="18">
        <f>IF(ISNONTEXT('Organizacija natjecanja'!H9)=TRUE,"",'Organizacija natjecanja'!H9)</f>
      </c>
    </row>
    <row r="15" spans="2:8" s="36" customFormat="1" ht="12">
      <c r="B15" s="34" t="s">
        <v>53</v>
      </c>
      <c r="C15" s="34"/>
      <c r="D15" s="35" t="s">
        <v>54</v>
      </c>
      <c r="E15" s="34"/>
      <c r="F15" s="34" t="s">
        <v>64</v>
      </c>
      <c r="G15" s="35" t="s">
        <v>55</v>
      </c>
      <c r="H15" s="34" t="s">
        <v>65</v>
      </c>
    </row>
    <row r="16" spans="2:8" ht="12.75">
      <c r="B16" s="37"/>
      <c r="C16" s="38"/>
      <c r="D16" s="38"/>
      <c r="E16" s="22"/>
      <c r="F16" s="22"/>
      <c r="G16" s="22"/>
      <c r="H16" s="39"/>
    </row>
    <row r="17" spans="2:8" s="68" customFormat="1" ht="15.75">
      <c r="B17" s="89">
        <f>VLOOKUP(D17,'Upis rezultata D sektora'!$E$2:$G$13,3,0)</f>
        <v>4</v>
      </c>
      <c r="C17" s="90"/>
      <c r="D17" s="96">
        <f>IF(ISNONTEXT('Upis rezultata D sektora'!E2)=TRUE,"",'Upis rezultata D sektora'!E2)</f>
      </c>
      <c r="E17" s="91"/>
      <c r="F17" s="92">
        <f>IF(ISNUMBER('Prijava ekipa i izvlačenje br.'!B2)=FALSE,"",'Prijava ekipa i izvlačenje br.'!B2)</f>
      </c>
      <c r="G17" s="97">
        <f>IF((D17)="","","D")</f>
      </c>
      <c r="H17" s="97">
        <f>IF(ISNUMBER('Upis rezultata D sektora'!C2)=FALSE,"",'Upis rezultata D sektora'!C2)</f>
      </c>
    </row>
    <row r="18" spans="2:8" ht="12.75">
      <c r="B18" s="40"/>
      <c r="C18" s="29"/>
      <c r="D18" s="29"/>
      <c r="E18" s="25"/>
      <c r="F18" s="25"/>
      <c r="G18" s="25"/>
      <c r="H18" s="25"/>
    </row>
    <row r="20" spans="2:8" s="36" customFormat="1" ht="12">
      <c r="B20" s="41"/>
      <c r="C20" s="42" t="s">
        <v>66</v>
      </c>
      <c r="D20" s="43"/>
      <c r="E20" s="44" t="s">
        <v>67</v>
      </c>
      <c r="F20" s="43"/>
      <c r="G20" s="44" t="s">
        <v>68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69</v>
      </c>
      <c r="C25" s="6">
        <f>IF(ISNONTEXT('Organizacija natjecanja'!H28)=TRUE,"",'Organizacija natjecanja'!H28)</f>
      </c>
      <c r="F25" s="6" t="s">
        <v>70</v>
      </c>
    </row>
    <row r="26" ht="12.75">
      <c r="B26" s="7"/>
    </row>
    <row r="27" ht="12.75">
      <c r="B27" s="7"/>
    </row>
    <row r="28" ht="12.75">
      <c r="B28" s="7"/>
    </row>
    <row r="29" ht="12.75">
      <c r="B29" s="7"/>
    </row>
    <row r="30" spans="1:9" ht="12.75" customHeight="1">
      <c r="A30" s="30"/>
      <c r="B30" s="46"/>
      <c r="C30" s="30"/>
      <c r="D30" s="30"/>
      <c r="E30" s="30"/>
      <c r="F30" s="30"/>
      <c r="G30" s="30"/>
      <c r="H30" s="30"/>
      <c r="I30" s="30"/>
    </row>
    <row r="32" spans="2:3" ht="15">
      <c r="B32" s="31"/>
      <c r="C32" s="31" t="s">
        <v>60</v>
      </c>
    </row>
    <row r="33" ht="12.75">
      <c r="G33" s="18">
        <f>IF(ISNONTEXT('Organizacija natjecanja'!H5)=TRUE,"",'Organizacija natjecanja'!H5)</f>
      </c>
    </row>
    <row r="34" ht="12.75">
      <c r="G34" s="19" t="s">
        <v>61</v>
      </c>
    </row>
    <row r="36" spans="4:8" ht="18">
      <c r="D36" s="32"/>
      <c r="E36" s="32" t="s">
        <v>62</v>
      </c>
      <c r="F36" s="32"/>
      <c r="G36" s="32"/>
      <c r="H36" s="32"/>
    </row>
    <row r="38" spans="5:8" ht="15">
      <c r="E38" s="20">
        <f>IF(ISNONTEXT('Organizacija natjecanja'!H2)=TRUE,"",'Organizacija natjecanja'!H2)</f>
      </c>
      <c r="H38" s="21"/>
    </row>
    <row r="39" spans="4:8" ht="12.75">
      <c r="D39" s="7"/>
      <c r="E39" s="19" t="s">
        <v>63</v>
      </c>
      <c r="F39" s="7"/>
      <c r="G39" s="7"/>
      <c r="H39" s="7"/>
    </row>
    <row r="40" ht="12.75">
      <c r="D40" s="33"/>
    </row>
    <row r="41" spans="2:5" ht="15">
      <c r="B41" s="6" t="s">
        <v>51</v>
      </c>
      <c r="E41" s="20">
        <f>IF(ISNONTEXT('Upis rezultata C sektora'!D3)=TRUE,"",'Upis rezultata C sektora'!D3)</f>
      </c>
    </row>
    <row r="42" ht="12.75">
      <c r="E42" s="18"/>
    </row>
    <row r="43" spans="2:5" ht="12.75">
      <c r="B43" s="6" t="s">
        <v>52</v>
      </c>
      <c r="E43" s="18">
        <f>IF(ISNONTEXT('Organizacija natjecanja'!H9)=TRUE,"",'Organizacija natjecanja'!H9)</f>
      </c>
    </row>
    <row r="45" spans="2:8" s="36" customFormat="1" ht="12">
      <c r="B45" s="34" t="s">
        <v>71</v>
      </c>
      <c r="C45" s="34"/>
      <c r="D45" s="35" t="s">
        <v>54</v>
      </c>
      <c r="E45" s="34"/>
      <c r="F45" s="34" t="s">
        <v>64</v>
      </c>
      <c r="G45" s="35" t="s">
        <v>55</v>
      </c>
      <c r="H45" s="34" t="s">
        <v>65</v>
      </c>
    </row>
    <row r="46" spans="2:8" ht="12.75">
      <c r="B46" s="37"/>
      <c r="C46" s="38"/>
      <c r="D46" s="38"/>
      <c r="E46" s="22"/>
      <c r="F46" s="22"/>
      <c r="G46" s="22"/>
      <c r="H46" s="39"/>
    </row>
    <row r="47" spans="2:8" s="68" customFormat="1" ht="15.75">
      <c r="B47" s="89">
        <f>VLOOKUP(D47,'Upis rezultata D sektora'!$E$2:$G$13,3,0)</f>
        <v>4</v>
      </c>
      <c r="C47" s="90"/>
      <c r="D47" s="96">
        <f>IF(ISNONTEXT('Upis rezultata D sektora'!E3)=TRUE,"",'Upis rezultata D sektora'!E3)</f>
      </c>
      <c r="E47" s="91"/>
      <c r="F47" s="92">
        <f>IF(ISNUMBER('Prijava ekipa i izvlačenje br.'!B3)=FALSE,"",'Prijava ekipa i izvlačenje br.'!B3)</f>
      </c>
      <c r="G47" s="97">
        <f>IF((D47)="","","D")</f>
      </c>
      <c r="H47" s="97">
        <f>IF(ISNUMBER('Upis rezultata D sektora'!C3)=FALSE,"",'Upis rezultata D sektora'!C3)</f>
      </c>
    </row>
    <row r="48" spans="2:8" ht="12.75">
      <c r="B48" s="40"/>
      <c r="C48" s="29"/>
      <c r="D48" s="29"/>
      <c r="E48" s="25"/>
      <c r="F48" s="25"/>
      <c r="G48" s="25"/>
      <c r="H48" s="25"/>
    </row>
    <row r="50" spans="2:8" s="36" customFormat="1" ht="12">
      <c r="B50" s="41"/>
      <c r="C50" s="42" t="s">
        <v>66</v>
      </c>
      <c r="D50" s="43"/>
      <c r="E50" s="44" t="s">
        <v>67</v>
      </c>
      <c r="F50" s="43"/>
      <c r="G50" s="44" t="s">
        <v>68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69</v>
      </c>
      <c r="C55" s="6">
        <f>IF(ISNONTEXT('Organizacija natjecanja'!H28)=TRUE,"",'Organizacija natjecanja'!H28)</f>
      </c>
      <c r="F55" s="6" t="s">
        <v>70</v>
      </c>
    </row>
    <row r="56" ht="12.75">
      <c r="B56" s="7"/>
    </row>
    <row r="57" ht="12.75">
      <c r="B57" s="7"/>
    </row>
    <row r="58" spans="2:3" ht="15">
      <c r="B58" s="31"/>
      <c r="C58" s="31" t="s">
        <v>60</v>
      </c>
    </row>
    <row r="59" ht="12.75">
      <c r="G59" s="18">
        <f>IF(ISNONTEXT('Organizacija natjecanja'!H5)=TRUE,"",'Organizacija natjecanja'!H5)</f>
      </c>
    </row>
    <row r="60" ht="12.75">
      <c r="G60" s="19" t="s">
        <v>61</v>
      </c>
    </row>
    <row r="62" spans="4:8" ht="18">
      <c r="D62" s="32"/>
      <c r="E62" s="32" t="s">
        <v>62</v>
      </c>
      <c r="F62" s="32"/>
      <c r="G62" s="32"/>
      <c r="H62" s="32"/>
    </row>
    <row r="64" spans="5:8" ht="15">
      <c r="E64" s="20">
        <f>IF(ISNONTEXT('Organizacija natjecanja'!H2)=TRUE,"",'Organizacija natjecanja'!H2)</f>
      </c>
      <c r="H64" s="21"/>
    </row>
    <row r="65" spans="4:8" ht="12.75">
      <c r="D65" s="7"/>
      <c r="E65" s="19" t="s">
        <v>63</v>
      </c>
      <c r="F65" s="7"/>
      <c r="G65" s="7"/>
      <c r="H65" s="7"/>
    </row>
    <row r="66" ht="12.75">
      <c r="D66" s="33"/>
    </row>
    <row r="67" spans="2:5" ht="15">
      <c r="B67" s="6" t="s">
        <v>59</v>
      </c>
      <c r="E67" s="20">
        <f>IF(ISNONTEXT('Upis rezultata C sektora'!D4)=TRUE,"",'Upis rezultata C sektora'!D4)</f>
      </c>
    </row>
    <row r="68" ht="12.75">
      <c r="E68" s="18"/>
    </row>
    <row r="69" spans="2:5" ht="12.75">
      <c r="B69" s="6" t="s">
        <v>52</v>
      </c>
      <c r="E69" s="18">
        <f>IF(ISNONTEXT('Organizacija natjecanja'!H9)=TRUE,"",'Organizacija natjecanja'!H9)</f>
      </c>
    </row>
    <row r="71" spans="1:9" ht="12.75">
      <c r="A71" s="36"/>
      <c r="B71" s="34" t="s">
        <v>53</v>
      </c>
      <c r="C71" s="34"/>
      <c r="D71" s="35" t="s">
        <v>54</v>
      </c>
      <c r="E71" s="34"/>
      <c r="F71" s="34" t="s">
        <v>64</v>
      </c>
      <c r="G71" s="35" t="s">
        <v>55</v>
      </c>
      <c r="H71" s="34" t="s">
        <v>65</v>
      </c>
      <c r="I71" s="36"/>
    </row>
    <row r="72" spans="2:8" ht="12.75">
      <c r="B72" s="37"/>
      <c r="C72" s="38"/>
      <c r="D72" s="38"/>
      <c r="E72" s="22"/>
      <c r="F72" s="22"/>
      <c r="G72" s="22"/>
      <c r="H72" s="39"/>
    </row>
    <row r="73" spans="2:8" s="68" customFormat="1" ht="15.75">
      <c r="B73" s="89">
        <f>VLOOKUP(D73,'Upis rezultata D sektora'!$E$2:$G$13,3,0)</f>
        <v>4</v>
      </c>
      <c r="C73" s="90"/>
      <c r="D73" s="96">
        <f>IF(ISNONTEXT('Upis rezultata D sektora'!E4)=TRUE,"",'Upis rezultata D sektora'!E4)</f>
      </c>
      <c r="E73" s="91"/>
      <c r="F73" s="92">
        <f>IF(ISNUMBER('Prijava ekipa i izvlačenje br.'!B4)=FALSE,"",'Prijava ekipa i izvlačenje br.'!B4)</f>
      </c>
      <c r="G73" s="97">
        <f>IF((D73)="","","D")</f>
      </c>
      <c r="H73" s="97">
        <f>IF(ISNUMBER('Upis rezultata D sektora'!C4)=FALSE,"",'Upis rezultata D sektora'!C4)</f>
      </c>
    </row>
    <row r="74" spans="2:8" ht="12.75">
      <c r="B74" s="40"/>
      <c r="C74" s="29"/>
      <c r="D74" s="29"/>
      <c r="E74" s="25"/>
      <c r="F74" s="25"/>
      <c r="G74" s="25"/>
      <c r="H74" s="25"/>
    </row>
    <row r="76" spans="1:9" ht="12.75">
      <c r="A76" s="36"/>
      <c r="B76" s="41"/>
      <c r="C76" s="42" t="s">
        <v>66</v>
      </c>
      <c r="D76" s="43"/>
      <c r="E76" s="44" t="s">
        <v>67</v>
      </c>
      <c r="F76" s="43"/>
      <c r="G76" s="44" t="s">
        <v>68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69</v>
      </c>
      <c r="C81" s="6">
        <f>IF(ISNONTEXT('Organizacija natjecanja'!H28)=TRUE,"",'Organizacija natjecanja'!H28)</f>
      </c>
      <c r="F81" s="6" t="s">
        <v>70</v>
      </c>
    </row>
    <row r="82" ht="12.75">
      <c r="B82" s="7"/>
    </row>
    <row r="83" ht="12.75">
      <c r="B83" s="7"/>
    </row>
    <row r="84" ht="12.75">
      <c r="B84" s="7"/>
    </row>
    <row r="85" ht="12.75">
      <c r="B85" s="7"/>
    </row>
    <row r="86" spans="1:9" ht="12.75">
      <c r="A86" s="30"/>
      <c r="B86" s="46"/>
      <c r="C86" s="30"/>
      <c r="D86" s="30"/>
      <c r="E86" s="30"/>
      <c r="F86" s="30"/>
      <c r="G86" s="30"/>
      <c r="H86" s="30"/>
      <c r="I86" s="30"/>
    </row>
    <row r="88" spans="2:3" ht="15">
      <c r="B88" s="31"/>
      <c r="C88" s="31" t="s">
        <v>60</v>
      </c>
    </row>
    <row r="89" ht="12.75">
      <c r="G89" s="18">
        <f>IF(ISNONTEXT('Organizacija natjecanja'!H5)=TRUE,"",'Organizacija natjecanja'!H5)</f>
      </c>
    </row>
    <row r="90" ht="12.75">
      <c r="G90" s="19" t="s">
        <v>61</v>
      </c>
    </row>
    <row r="92" spans="4:8" ht="18">
      <c r="D92" s="32"/>
      <c r="E92" s="32" t="s">
        <v>62</v>
      </c>
      <c r="F92" s="32"/>
      <c r="G92" s="32"/>
      <c r="H92" s="32"/>
    </row>
    <row r="94" spans="5:8" ht="15">
      <c r="E94" s="20">
        <f>IF(ISNONTEXT('Organizacija natjecanja'!H2)=TRUE,"",'Organizacija natjecanja'!H2)</f>
      </c>
      <c r="H94" s="21"/>
    </row>
    <row r="95" spans="4:8" ht="12.75">
      <c r="D95" s="7"/>
      <c r="E95" s="19" t="s">
        <v>63</v>
      </c>
      <c r="F95" s="7"/>
      <c r="G95" s="7"/>
      <c r="H95" s="7"/>
    </row>
    <row r="96" ht="12.75">
      <c r="D96" s="33"/>
    </row>
    <row r="97" spans="2:5" ht="15">
      <c r="B97" s="6" t="s">
        <v>51</v>
      </c>
      <c r="E97" s="20">
        <f>IF(ISNONTEXT('Upis rezultata C sektora'!D5)=TRUE,"",'Upis rezultata C sektora'!D5)</f>
      </c>
    </row>
    <row r="98" ht="12.75">
      <c r="E98" s="18"/>
    </row>
    <row r="99" spans="2:5" ht="12.75">
      <c r="B99" s="6" t="s">
        <v>52</v>
      </c>
      <c r="E99" s="18">
        <f>IF(ISNONTEXT('Organizacija natjecanja'!H9)=TRUE,"",'Organizacija natjecanja'!H9)</f>
      </c>
    </row>
    <row r="101" spans="1:9" ht="12.75">
      <c r="A101" s="36"/>
      <c r="B101" s="34" t="s">
        <v>71</v>
      </c>
      <c r="C101" s="34"/>
      <c r="D101" s="35" t="s">
        <v>54</v>
      </c>
      <c r="E101" s="34"/>
      <c r="F101" s="34" t="s">
        <v>64</v>
      </c>
      <c r="G101" s="35" t="s">
        <v>55</v>
      </c>
      <c r="H101" s="34" t="s">
        <v>65</v>
      </c>
      <c r="I101" s="36"/>
    </row>
    <row r="102" spans="2:8" ht="12.75">
      <c r="B102" s="37"/>
      <c r="C102" s="38"/>
      <c r="D102" s="38"/>
      <c r="E102" s="22"/>
      <c r="F102" s="22"/>
      <c r="G102" s="22"/>
      <c r="H102" s="39"/>
    </row>
    <row r="103" spans="2:8" s="68" customFormat="1" ht="15.75">
      <c r="B103" s="89">
        <f>VLOOKUP(D103,'Upis rezultata D sektora'!$E$2:$G$13,3,0)</f>
        <v>4</v>
      </c>
      <c r="C103" s="90"/>
      <c r="D103" s="96">
        <f>IF(ISNONTEXT('Upis rezultata D sektora'!E5)=TRUE,"",'Upis rezultata D sektora'!E5)</f>
      </c>
      <c r="E103" s="91"/>
      <c r="F103" s="92">
        <f>IF(ISNUMBER('Prijava ekipa i izvlačenje br.'!B5)=FALSE,"",'Prijava ekipa i izvlačenje br.'!B5)</f>
      </c>
      <c r="G103" s="97">
        <f>IF((D103)="","","D")</f>
      </c>
      <c r="H103" s="97">
        <f>IF(ISNUMBER('Upis rezultata D sektora'!C5)=FALSE,"",'Upis rezultata D sektora'!C5)</f>
      </c>
    </row>
    <row r="104" spans="2:8" ht="12.75">
      <c r="B104" s="40"/>
      <c r="C104" s="29"/>
      <c r="D104" s="29"/>
      <c r="E104" s="25"/>
      <c r="F104" s="25"/>
      <c r="G104" s="25"/>
      <c r="H104" s="25"/>
    </row>
    <row r="106" spans="1:9" ht="12.75">
      <c r="A106" s="36"/>
      <c r="B106" s="41"/>
      <c r="C106" s="42" t="s">
        <v>66</v>
      </c>
      <c r="D106" s="43"/>
      <c r="E106" s="44" t="s">
        <v>67</v>
      </c>
      <c r="F106" s="43"/>
      <c r="G106" s="44" t="s">
        <v>68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69</v>
      </c>
      <c r="C111" s="6">
        <f>IF(ISNONTEXT('Organizacija natjecanja'!H28)=TRUE,"",'Organizacija natjecanja'!H28)</f>
      </c>
      <c r="F111" s="6" t="s">
        <v>70</v>
      </c>
    </row>
    <row r="112" ht="12.75">
      <c r="B112" s="7"/>
    </row>
    <row r="113" ht="12.75">
      <c r="B113" s="7"/>
    </row>
    <row r="114" spans="2:3" ht="15">
      <c r="B114" s="31"/>
      <c r="C114" s="31" t="s">
        <v>60</v>
      </c>
    </row>
    <row r="115" ht="12.75">
      <c r="G115" s="18">
        <f>IF(ISNONTEXT('Organizacija natjecanja'!H5)=TRUE,"",'Organizacija natjecanja'!H5)</f>
      </c>
    </row>
    <row r="116" ht="12.75">
      <c r="G116" s="19" t="s">
        <v>61</v>
      </c>
    </row>
    <row r="118" spans="4:8" ht="18">
      <c r="D118" s="32"/>
      <c r="E118" s="32" t="s">
        <v>62</v>
      </c>
      <c r="F118" s="32"/>
      <c r="G118" s="32"/>
      <c r="H118" s="32"/>
    </row>
    <row r="120" spans="5:8" ht="15">
      <c r="E120" s="20">
        <f>IF(ISNONTEXT('Organizacija natjecanja'!H2)=TRUE,"",'Organizacija natjecanja'!H2)</f>
      </c>
      <c r="H120" s="21"/>
    </row>
    <row r="121" spans="4:8" ht="12.75">
      <c r="D121" s="7"/>
      <c r="E121" s="19" t="s">
        <v>63</v>
      </c>
      <c r="F121" s="7"/>
      <c r="G121" s="7"/>
      <c r="H121" s="7"/>
    </row>
    <row r="122" ht="12.75">
      <c r="D122" s="33"/>
    </row>
    <row r="123" spans="2:5" ht="15">
      <c r="B123" s="6" t="s">
        <v>59</v>
      </c>
      <c r="E123" s="20">
        <f>IF(ISNONTEXT('Upis rezultata C sektora'!D6)=TRUE,"",'Upis rezultata C sektora'!D6)</f>
      </c>
    </row>
    <row r="124" ht="12.75">
      <c r="E124" s="18"/>
    </row>
    <row r="125" spans="2:5" ht="12.75">
      <c r="B125" s="6" t="s">
        <v>52</v>
      </c>
      <c r="E125" s="18">
        <f>IF(ISNONTEXT('Organizacija natjecanja'!H9)=TRUE,"",'Organizacija natjecanja'!H9)</f>
      </c>
    </row>
    <row r="127" spans="1:9" ht="12.75">
      <c r="A127" s="36"/>
      <c r="B127" s="34" t="s">
        <v>53</v>
      </c>
      <c r="C127" s="34"/>
      <c r="D127" s="35" t="s">
        <v>54</v>
      </c>
      <c r="E127" s="34"/>
      <c r="F127" s="34" t="s">
        <v>64</v>
      </c>
      <c r="G127" s="35" t="s">
        <v>55</v>
      </c>
      <c r="H127" s="34" t="s">
        <v>65</v>
      </c>
      <c r="I127" s="36"/>
    </row>
    <row r="128" spans="2:8" ht="12.75">
      <c r="B128" s="37"/>
      <c r="C128" s="38"/>
      <c r="D128" s="38"/>
      <c r="E128" s="22"/>
      <c r="F128" s="22"/>
      <c r="G128" s="22"/>
      <c r="H128" s="39"/>
    </row>
    <row r="129" spans="2:8" s="68" customFormat="1" ht="15.75">
      <c r="B129" s="89">
        <f>VLOOKUP(D129,'Upis rezultata D sektora'!$E$2:$G$13,3,0)</f>
        <v>4</v>
      </c>
      <c r="C129" s="90"/>
      <c r="D129" s="96">
        <f>IF(ISNONTEXT('Upis rezultata D sektora'!E6)=TRUE,"",'Upis rezultata D sektora'!E6)</f>
      </c>
      <c r="E129" s="91"/>
      <c r="F129" s="92">
        <f>IF(ISNUMBER('Prijava ekipa i izvlačenje br.'!B6)=FALSE,"",'Prijava ekipa i izvlačenje br.'!B6)</f>
      </c>
      <c r="G129" s="97">
        <f>IF((D129)="","","D")</f>
      </c>
      <c r="H129" s="97">
        <f>IF(ISNUMBER('Upis rezultata D sektora'!C6)=FALSE,"",'Upis rezultata D sektora'!C6)</f>
      </c>
    </row>
    <row r="130" spans="2:8" ht="12.75">
      <c r="B130" s="40"/>
      <c r="C130" s="29"/>
      <c r="D130" s="29"/>
      <c r="E130" s="25"/>
      <c r="F130" s="25"/>
      <c r="G130" s="25"/>
      <c r="H130" s="25"/>
    </row>
    <row r="132" spans="1:9" ht="12.75">
      <c r="A132" s="36"/>
      <c r="B132" s="41"/>
      <c r="C132" s="42" t="s">
        <v>66</v>
      </c>
      <c r="D132" s="43"/>
      <c r="E132" s="44" t="s">
        <v>67</v>
      </c>
      <c r="F132" s="43"/>
      <c r="G132" s="44" t="s">
        <v>68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69</v>
      </c>
      <c r="C137" s="6">
        <f>IF(ISNONTEXT('Organizacija natjecanja'!H28)=TRUE,"",'Organizacija natjecanja'!H28)</f>
      </c>
      <c r="F137" s="6" t="s">
        <v>70</v>
      </c>
    </row>
    <row r="138" ht="12.75">
      <c r="B138" s="7"/>
    </row>
    <row r="139" ht="12.75">
      <c r="B139" s="7"/>
    </row>
    <row r="140" ht="12.75">
      <c r="B140" s="7"/>
    </row>
    <row r="141" ht="12.75">
      <c r="B141" s="7"/>
    </row>
    <row r="142" spans="1:9" ht="12.75">
      <c r="A142" s="30"/>
      <c r="B142" s="46"/>
      <c r="C142" s="30"/>
      <c r="D142" s="30"/>
      <c r="E142" s="30"/>
      <c r="F142" s="30"/>
      <c r="G142" s="30"/>
      <c r="H142" s="30"/>
      <c r="I142" s="30"/>
    </row>
    <row r="144" spans="2:3" ht="15">
      <c r="B144" s="31"/>
      <c r="C144" s="31" t="s">
        <v>60</v>
      </c>
    </row>
    <row r="145" ht="12.75">
      <c r="G145" s="18">
        <f>IF(ISNONTEXT('Organizacija natjecanja'!H5)=TRUE,"",'Organizacija natjecanja'!H5)</f>
      </c>
    </row>
    <row r="146" ht="12.75">
      <c r="G146" s="19" t="s">
        <v>61</v>
      </c>
    </row>
    <row r="148" spans="4:8" ht="18">
      <c r="D148" s="32"/>
      <c r="E148" s="32" t="s">
        <v>62</v>
      </c>
      <c r="F148" s="32"/>
      <c r="G148" s="32"/>
      <c r="H148" s="32"/>
    </row>
    <row r="150" spans="5:8" ht="15">
      <c r="E150" s="20">
        <f>IF(ISNONTEXT('Organizacija natjecanja'!H2)=TRUE,"",'Organizacija natjecanja'!H2)</f>
      </c>
      <c r="H150" s="21"/>
    </row>
    <row r="151" spans="4:8" ht="12.75">
      <c r="D151" s="7"/>
      <c r="E151" s="19" t="s">
        <v>63</v>
      </c>
      <c r="F151" s="7"/>
      <c r="G151" s="7"/>
      <c r="H151" s="7"/>
    </row>
    <row r="152" ht="12.75">
      <c r="D152" s="33"/>
    </row>
    <row r="153" spans="2:5" ht="15">
      <c r="B153" s="6" t="s">
        <v>51</v>
      </c>
      <c r="E153" s="20">
        <f>IF(ISNONTEXT('Upis rezultata C sektora'!D7)=TRUE,"",'Upis rezultata C sektora'!D7)</f>
      </c>
    </row>
    <row r="154" ht="12.75">
      <c r="E154" s="18"/>
    </row>
    <row r="155" spans="2:5" ht="12.75">
      <c r="B155" s="6" t="s">
        <v>52</v>
      </c>
      <c r="E155" s="18">
        <f>IF(ISNONTEXT('Organizacija natjecanja'!H9)=TRUE,"",'Organizacija natjecanja'!H9)</f>
      </c>
    </row>
    <row r="157" spans="1:9" ht="12.75">
      <c r="A157" s="36"/>
      <c r="B157" s="34" t="s">
        <v>71</v>
      </c>
      <c r="C157" s="34"/>
      <c r="D157" s="35" t="s">
        <v>54</v>
      </c>
      <c r="E157" s="34"/>
      <c r="F157" s="34" t="s">
        <v>64</v>
      </c>
      <c r="G157" s="35" t="s">
        <v>55</v>
      </c>
      <c r="H157" s="34" t="s">
        <v>65</v>
      </c>
      <c r="I157" s="36"/>
    </row>
    <row r="158" spans="2:8" ht="12.75">
      <c r="B158" s="37"/>
      <c r="C158" s="38"/>
      <c r="D158" s="38"/>
      <c r="E158" s="22"/>
      <c r="F158" s="22"/>
      <c r="G158" s="22"/>
      <c r="H158" s="39"/>
    </row>
    <row r="159" spans="2:8" s="68" customFormat="1" ht="15.75">
      <c r="B159" s="89">
        <f>VLOOKUP(D159,'Upis rezultata D sektora'!$E$2:$G$13,3,0)</f>
        <v>4</v>
      </c>
      <c r="C159" s="90"/>
      <c r="D159" s="96">
        <f>IF(ISNONTEXT('Upis rezultata D sektora'!E7)=TRUE,"",'Upis rezultata D sektora'!E7)</f>
      </c>
      <c r="E159" s="91"/>
      <c r="F159" s="92">
        <f>IF(ISNUMBER('Prijava ekipa i izvlačenje br.'!B7)=FALSE,"",'Prijava ekipa i izvlačenje br.'!B7)</f>
      </c>
      <c r="G159" s="97">
        <f>IF((D159)="","","D")</f>
      </c>
      <c r="H159" s="97">
        <f>IF(ISNUMBER('Upis rezultata D sektora'!C7)=FALSE,"",'Upis rezultata D sektora'!C7)</f>
      </c>
    </row>
    <row r="160" spans="2:8" ht="12.75">
      <c r="B160" s="40"/>
      <c r="C160" s="29"/>
      <c r="D160" s="29"/>
      <c r="E160" s="25"/>
      <c r="F160" s="25"/>
      <c r="G160" s="25"/>
      <c r="H160" s="25"/>
    </row>
    <row r="162" spans="1:9" ht="12.75">
      <c r="A162" s="36"/>
      <c r="B162" s="41"/>
      <c r="C162" s="42" t="s">
        <v>66</v>
      </c>
      <c r="D162" s="43"/>
      <c r="E162" s="44" t="s">
        <v>67</v>
      </c>
      <c r="F162" s="43"/>
      <c r="G162" s="44" t="s">
        <v>68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69</v>
      </c>
      <c r="C167" s="6">
        <f>IF(ISNONTEXT('Organizacija natjecanja'!H28)=TRUE,"",'Organizacija natjecanja'!H28)</f>
      </c>
      <c r="F167" s="6" t="s">
        <v>70</v>
      </c>
    </row>
    <row r="168" ht="12.75">
      <c r="B168" s="7"/>
    </row>
    <row r="169" ht="12.75">
      <c r="B169" s="7"/>
    </row>
    <row r="170" spans="2:3" ht="15">
      <c r="B170" s="31"/>
      <c r="C170" s="31" t="s">
        <v>60</v>
      </c>
    </row>
    <row r="171" ht="12.75">
      <c r="G171" s="18">
        <f>IF(ISNONTEXT('Organizacija natjecanja'!H5)=TRUE,"",'Organizacija natjecanja'!H5)</f>
      </c>
    </row>
    <row r="172" ht="12.75">
      <c r="G172" s="19" t="s">
        <v>61</v>
      </c>
    </row>
    <row r="174" spans="4:8" ht="18">
      <c r="D174" s="32"/>
      <c r="E174" s="32" t="s">
        <v>62</v>
      </c>
      <c r="F174" s="32"/>
      <c r="G174" s="32"/>
      <c r="H174" s="32"/>
    </row>
    <row r="176" spans="5:8" ht="15">
      <c r="E176" s="20">
        <f>IF(ISNONTEXT('Organizacija natjecanja'!H2)=TRUE,"",'Organizacija natjecanja'!H2)</f>
      </c>
      <c r="H176" s="21"/>
    </row>
    <row r="177" spans="4:8" ht="12.75">
      <c r="D177" s="7"/>
      <c r="E177" s="19" t="s">
        <v>63</v>
      </c>
      <c r="F177" s="7"/>
      <c r="G177" s="7"/>
      <c r="H177" s="7"/>
    </row>
    <row r="178" ht="12.75">
      <c r="D178" s="33"/>
    </row>
    <row r="179" spans="2:5" ht="15">
      <c r="B179" s="6" t="s">
        <v>59</v>
      </c>
      <c r="E179" s="20">
        <f>IF(ISNONTEXT('Upis rezultata C sektora'!D8)=TRUE,"",'Upis rezultata C sektora'!D8)</f>
      </c>
    </row>
    <row r="180" ht="12.75">
      <c r="E180" s="18"/>
    </row>
    <row r="181" spans="2:5" ht="12.75">
      <c r="B181" s="6" t="s">
        <v>52</v>
      </c>
      <c r="E181" s="18">
        <f>IF(ISNONTEXT('Organizacija natjecanja'!H9)=TRUE,"",'Organizacija natjecanja'!H9)</f>
      </c>
    </row>
    <row r="183" spans="1:9" ht="12.75">
      <c r="A183" s="36"/>
      <c r="B183" s="34" t="s">
        <v>53</v>
      </c>
      <c r="C183" s="34"/>
      <c r="D183" s="35" t="s">
        <v>54</v>
      </c>
      <c r="E183" s="34"/>
      <c r="F183" s="34" t="s">
        <v>64</v>
      </c>
      <c r="G183" s="35" t="s">
        <v>55</v>
      </c>
      <c r="H183" s="34" t="s">
        <v>65</v>
      </c>
      <c r="I183" s="36"/>
    </row>
    <row r="184" spans="2:8" ht="12.75">
      <c r="B184" s="37"/>
      <c r="C184" s="38"/>
      <c r="D184" s="38"/>
      <c r="E184" s="22"/>
      <c r="F184" s="22"/>
      <c r="G184" s="22"/>
      <c r="H184" s="39"/>
    </row>
    <row r="185" spans="2:8" s="68" customFormat="1" ht="15.75">
      <c r="B185" s="89">
        <f>VLOOKUP(D185,'Upis rezultata D sektora'!$E$2:$G$13,3,0)</f>
        <v>4</v>
      </c>
      <c r="C185" s="90"/>
      <c r="D185" s="96">
        <f>IF(ISNONTEXT('Upis rezultata D sektora'!E8)=TRUE,"",'Upis rezultata D sektora'!E8)</f>
      </c>
      <c r="E185" s="91"/>
      <c r="F185" s="92">
        <f>IF(ISNUMBER('Prijava ekipa i izvlačenje br.'!B8)=FALSE,"",'Prijava ekipa i izvlačenje br.'!B8)</f>
      </c>
      <c r="G185" s="97">
        <f>IF((D185)="","","D")</f>
      </c>
      <c r="H185" s="97">
        <f>IF(ISNUMBER('Upis rezultata D sektora'!C8)=FALSE,"",'Upis rezultata D sektora'!C8)</f>
      </c>
    </row>
    <row r="186" spans="2:8" ht="12.75">
      <c r="B186" s="40"/>
      <c r="C186" s="29"/>
      <c r="D186" s="29"/>
      <c r="E186" s="25"/>
      <c r="F186" s="25"/>
      <c r="G186" s="25"/>
      <c r="H186" s="25"/>
    </row>
    <row r="188" spans="1:9" ht="12.75">
      <c r="A188" s="36"/>
      <c r="B188" s="41"/>
      <c r="C188" s="42" t="s">
        <v>66</v>
      </c>
      <c r="D188" s="43"/>
      <c r="E188" s="44" t="s">
        <v>67</v>
      </c>
      <c r="F188" s="43"/>
      <c r="G188" s="44" t="s">
        <v>68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69</v>
      </c>
      <c r="C193" s="6">
        <f>IF(ISNONTEXT('Organizacija natjecanja'!H28)=TRUE,"",'Organizacija natjecanja'!H28)</f>
      </c>
      <c r="F193" s="6" t="s">
        <v>70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60</v>
      </c>
    </row>
    <row r="201" ht="12.75">
      <c r="G201" s="18">
        <f>IF(ISNONTEXT('Organizacija natjecanja'!H5)=TRUE,"",'Organizacija natjecanja'!H5)</f>
      </c>
    </row>
    <row r="202" ht="12.75">
      <c r="G202" s="19" t="s">
        <v>61</v>
      </c>
    </row>
    <row r="204" spans="4:8" ht="18">
      <c r="D204" s="32"/>
      <c r="E204" s="32" t="s">
        <v>62</v>
      </c>
      <c r="F204" s="32"/>
      <c r="G204" s="32"/>
      <c r="H204" s="32"/>
    </row>
    <row r="206" spans="5:8" ht="15">
      <c r="E206" s="20">
        <f>IF(ISNONTEXT('Organizacija natjecanja'!H2)=TRUE,"",'Organizacija natjecanja'!H2)</f>
      </c>
      <c r="H206" s="21"/>
    </row>
    <row r="207" spans="4:8" ht="12.75">
      <c r="D207" s="7"/>
      <c r="E207" s="19" t="s">
        <v>63</v>
      </c>
      <c r="F207" s="7"/>
      <c r="G207" s="7"/>
      <c r="H207" s="7"/>
    </row>
    <row r="208" ht="12.75">
      <c r="D208" s="33"/>
    </row>
    <row r="209" spans="2:5" ht="15">
      <c r="B209" s="6" t="s">
        <v>51</v>
      </c>
      <c r="E209" s="20">
        <f>IF(ISNONTEXT('Upis rezultata C sektora'!D9)=TRUE,"",'Upis rezultata C sektora'!D9)</f>
      </c>
    </row>
    <row r="210" ht="12.75">
      <c r="E210" s="18"/>
    </row>
    <row r="211" spans="2:5" ht="12.75">
      <c r="B211" s="6" t="s">
        <v>52</v>
      </c>
      <c r="E211" s="18">
        <f>IF(ISNONTEXT('Organizacija natjecanja'!H9)=TRUE,"",'Organizacija natjecanja'!H9)</f>
      </c>
    </row>
    <row r="213" spans="1:9" ht="12.75">
      <c r="A213" s="36"/>
      <c r="B213" s="34" t="s">
        <v>71</v>
      </c>
      <c r="C213" s="34"/>
      <c r="D213" s="35" t="s">
        <v>54</v>
      </c>
      <c r="E213" s="34"/>
      <c r="F213" s="34" t="s">
        <v>64</v>
      </c>
      <c r="G213" s="35" t="s">
        <v>55</v>
      </c>
      <c r="H213" s="34" t="s">
        <v>65</v>
      </c>
      <c r="I213" s="36"/>
    </row>
    <row r="214" spans="2:8" ht="12.75">
      <c r="B214" s="37"/>
      <c r="C214" s="38"/>
      <c r="D214" s="38"/>
      <c r="E214" s="22"/>
      <c r="F214" s="22"/>
      <c r="G214" s="22"/>
      <c r="H214" s="39"/>
    </row>
    <row r="215" spans="2:8" s="68" customFormat="1" ht="15.75">
      <c r="B215" s="89">
        <f>VLOOKUP(D215,'Upis rezultata D sektora'!$E$2:$G$13,3,0)</f>
        <v>4</v>
      </c>
      <c r="C215" s="90"/>
      <c r="D215" s="96">
        <f>IF(ISNONTEXT('Upis rezultata D sektora'!E9)=TRUE,"",'Upis rezultata D sektora'!E9)</f>
      </c>
      <c r="E215" s="91"/>
      <c r="F215" s="92">
        <f>IF(ISNUMBER('Prijava ekipa i izvlačenje br.'!B9)=FALSE,"",'Prijava ekipa i izvlačenje br.'!B9)</f>
      </c>
      <c r="G215" s="97">
        <f>IF((D215)="","","D")</f>
      </c>
      <c r="H215" s="97">
        <f>IF(ISNUMBER('Upis rezultata D sektora'!C9)=FALSE,"",'Upis rezultata D sektora'!C9)</f>
      </c>
    </row>
    <row r="216" spans="2:8" ht="12.75">
      <c r="B216" s="40"/>
      <c r="C216" s="29"/>
      <c r="D216" s="29"/>
      <c r="E216" s="25"/>
      <c r="F216" s="25"/>
      <c r="G216" s="25"/>
      <c r="H216" s="25"/>
    </row>
    <row r="218" spans="1:9" ht="12.75">
      <c r="A218" s="36"/>
      <c r="B218" s="41"/>
      <c r="C218" s="42" t="s">
        <v>66</v>
      </c>
      <c r="D218" s="43"/>
      <c r="E218" s="44" t="s">
        <v>67</v>
      </c>
      <c r="F218" s="43"/>
      <c r="G218" s="44" t="s">
        <v>68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69</v>
      </c>
      <c r="C223" s="6">
        <f>IF(ISNONTEXT('Organizacija natjecanja'!H28)=TRUE,"",'Organizacija natjecanja'!H28)</f>
      </c>
      <c r="F223" s="6" t="s">
        <v>70</v>
      </c>
    </row>
    <row r="224" ht="12.75">
      <c r="B224" s="7"/>
    </row>
    <row r="225" ht="12.75">
      <c r="B225" s="7"/>
    </row>
    <row r="226" spans="2:3" ht="15">
      <c r="B226" s="31"/>
      <c r="C226" s="31" t="s">
        <v>60</v>
      </c>
    </row>
    <row r="227" ht="12.75">
      <c r="G227" s="18">
        <f>IF(ISNONTEXT('Organizacija natjecanja'!H5)=TRUE,"",'Organizacija natjecanja'!H5)</f>
      </c>
    </row>
    <row r="228" ht="12.75">
      <c r="G228" s="19" t="s">
        <v>61</v>
      </c>
    </row>
    <row r="230" spans="4:8" ht="18">
      <c r="D230" s="32"/>
      <c r="E230" s="32" t="s">
        <v>62</v>
      </c>
      <c r="F230" s="32"/>
      <c r="G230" s="32"/>
      <c r="H230" s="32"/>
    </row>
    <row r="232" spans="5:8" ht="15">
      <c r="E232" s="20">
        <f>IF(ISNONTEXT('Organizacija natjecanja'!H2)=TRUE,"",'Organizacija natjecanja'!H2)</f>
      </c>
      <c r="H232" s="21"/>
    </row>
    <row r="233" spans="4:8" ht="12.75">
      <c r="D233" s="7"/>
      <c r="E233" s="19" t="s">
        <v>63</v>
      </c>
      <c r="F233" s="7"/>
      <c r="G233" s="7"/>
      <c r="H233" s="7"/>
    </row>
    <row r="234" ht="12.75">
      <c r="D234" s="33"/>
    </row>
    <row r="235" spans="2:5" ht="15">
      <c r="B235" s="6" t="s">
        <v>59</v>
      </c>
      <c r="E235" s="20">
        <f>IF(ISNONTEXT('Upis rezultata C sektora'!D10)=TRUE,"",'Upis rezultata C sektora'!D10)</f>
      </c>
    </row>
    <row r="236" ht="12.75">
      <c r="E236" s="18"/>
    </row>
    <row r="237" spans="2:5" ht="12.75">
      <c r="B237" s="6" t="s">
        <v>52</v>
      </c>
      <c r="E237" s="18">
        <f>IF(ISNONTEXT('Organizacija natjecanja'!H9)=TRUE,"",'Organizacija natjecanja'!H9)</f>
      </c>
    </row>
    <row r="239" spans="1:9" ht="12.75">
      <c r="A239" s="36"/>
      <c r="B239" s="34" t="s">
        <v>53</v>
      </c>
      <c r="C239" s="34"/>
      <c r="D239" s="35" t="s">
        <v>54</v>
      </c>
      <c r="E239" s="34"/>
      <c r="F239" s="34" t="s">
        <v>64</v>
      </c>
      <c r="G239" s="35" t="s">
        <v>55</v>
      </c>
      <c r="H239" s="34" t="s">
        <v>65</v>
      </c>
      <c r="I239" s="36"/>
    </row>
    <row r="240" spans="2:8" ht="12.75">
      <c r="B240" s="37"/>
      <c r="C240" s="38"/>
      <c r="D240" s="38"/>
      <c r="E240" s="22"/>
      <c r="F240" s="22"/>
      <c r="G240" s="22"/>
      <c r="H240" s="39"/>
    </row>
    <row r="241" spans="2:8" s="68" customFormat="1" ht="15.75">
      <c r="B241" s="89">
        <f>VLOOKUP(D241,'Upis rezultata D sektora'!$E$2:$G$13,3,0)</f>
        <v>4</v>
      </c>
      <c r="C241" s="90"/>
      <c r="D241" s="96">
        <f>IF(ISNONTEXT('Upis rezultata D sektora'!E10)=TRUE,"",'Upis rezultata D sektora'!E10)</f>
      </c>
      <c r="E241" s="91"/>
      <c r="F241" s="92">
        <f>IF(ISNUMBER('Prijava ekipa i izvlačenje br.'!B10)=FALSE,"",'Prijava ekipa i izvlačenje br.'!B10)</f>
      </c>
      <c r="G241" s="97">
        <f>IF((D241)="","","D")</f>
      </c>
      <c r="H241" s="97">
        <f>IF(ISNUMBER('Upis rezultata D sektora'!C10)=FALSE,"",'Upis rezultata D sektora'!C10)</f>
      </c>
    </row>
    <row r="242" spans="2:8" ht="12.75">
      <c r="B242" s="40"/>
      <c r="C242" s="29"/>
      <c r="D242" s="29"/>
      <c r="E242" s="25"/>
      <c r="F242" s="25"/>
      <c r="G242" s="25"/>
      <c r="H242" s="25"/>
    </row>
    <row r="244" spans="1:9" ht="12.75">
      <c r="A244" s="36"/>
      <c r="B244" s="41"/>
      <c r="C244" s="42" t="s">
        <v>66</v>
      </c>
      <c r="D244" s="43"/>
      <c r="E244" s="44" t="s">
        <v>67</v>
      </c>
      <c r="F244" s="43"/>
      <c r="G244" s="44" t="s">
        <v>68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69</v>
      </c>
      <c r="C249" s="6">
        <f>IF(ISNONTEXT('Organizacija natjecanja'!H28)=TRUE,"",'Organizacija natjecanja'!H28)</f>
      </c>
      <c r="F249" s="6" t="s">
        <v>70</v>
      </c>
    </row>
    <row r="250" ht="12.75">
      <c r="B250" s="7"/>
    </row>
    <row r="251" ht="12.75">
      <c r="B251" s="7"/>
    </row>
    <row r="252" ht="12.75">
      <c r="B252" s="7"/>
    </row>
    <row r="253" ht="12.75">
      <c r="B253" s="7"/>
    </row>
    <row r="254" spans="1:9" ht="12.75">
      <c r="A254" s="30"/>
      <c r="B254" s="46"/>
      <c r="C254" s="30"/>
      <c r="D254" s="30"/>
      <c r="E254" s="30"/>
      <c r="F254" s="30"/>
      <c r="G254" s="30"/>
      <c r="H254" s="30"/>
      <c r="I254" s="30"/>
    </row>
    <row r="256" spans="2:3" ht="15">
      <c r="B256" s="31"/>
      <c r="C256" s="31" t="s">
        <v>60</v>
      </c>
    </row>
    <row r="257" ht="12.75">
      <c r="G257" s="18">
        <f>IF(ISNONTEXT('Organizacija natjecanja'!H5)=TRUE,"",'Organizacija natjecanja'!H5)</f>
      </c>
    </row>
    <row r="258" ht="12.75">
      <c r="G258" s="19" t="s">
        <v>61</v>
      </c>
    </row>
    <row r="260" spans="4:8" ht="18">
      <c r="D260" s="32"/>
      <c r="E260" s="32" t="s">
        <v>62</v>
      </c>
      <c r="F260" s="32"/>
      <c r="G260" s="32"/>
      <c r="H260" s="32"/>
    </row>
    <row r="262" spans="5:8" ht="15">
      <c r="E262" s="20">
        <f>IF(ISNONTEXT('Organizacija natjecanja'!H2)=TRUE,"",'Organizacija natjecanja'!H2)</f>
      </c>
      <c r="H262" s="21"/>
    </row>
    <row r="263" spans="4:8" ht="12.75">
      <c r="D263" s="7"/>
      <c r="E263" s="19" t="s">
        <v>63</v>
      </c>
      <c r="F263" s="7"/>
      <c r="G263" s="7"/>
      <c r="H263" s="7"/>
    </row>
    <row r="264" ht="12.75">
      <c r="D264" s="33"/>
    </row>
    <row r="265" spans="2:5" ht="15">
      <c r="B265" s="6" t="s">
        <v>51</v>
      </c>
      <c r="E265" s="20">
        <f>IF(ISNONTEXT('Upis rezultata C sektora'!D11)=TRUE,"",'Upis rezultata C sektora'!D11)</f>
      </c>
    </row>
    <row r="266" ht="12.75">
      <c r="E266" s="18"/>
    </row>
    <row r="267" spans="2:5" ht="12.75">
      <c r="B267" s="6" t="s">
        <v>52</v>
      </c>
      <c r="E267" s="18">
        <f>IF(ISNONTEXT('Organizacija natjecanja'!H9)=TRUE,"",'Organizacija natjecanja'!H9)</f>
      </c>
    </row>
    <row r="269" spans="1:9" ht="12.75">
      <c r="A269" s="36"/>
      <c r="B269" s="34" t="s">
        <v>71</v>
      </c>
      <c r="C269" s="34"/>
      <c r="D269" s="35" t="s">
        <v>54</v>
      </c>
      <c r="E269" s="34"/>
      <c r="F269" s="34" t="s">
        <v>64</v>
      </c>
      <c r="G269" s="35" t="s">
        <v>55</v>
      </c>
      <c r="H269" s="34" t="s">
        <v>65</v>
      </c>
      <c r="I269" s="36"/>
    </row>
    <row r="270" spans="2:8" ht="12.75">
      <c r="B270" s="37"/>
      <c r="C270" s="38"/>
      <c r="D270" s="38"/>
      <c r="E270" s="22"/>
      <c r="F270" s="22"/>
      <c r="G270" s="22"/>
      <c r="H270" s="39"/>
    </row>
    <row r="271" spans="2:8" s="68" customFormat="1" ht="15.75">
      <c r="B271" s="89">
        <f>VLOOKUP(D271,'Upis rezultata D sektora'!$E$2:$G$13,3,0)</f>
        <v>4</v>
      </c>
      <c r="C271" s="90"/>
      <c r="D271" s="96">
        <f>IF(ISNONTEXT('Upis rezultata D sektora'!E11)=TRUE,"",'Upis rezultata D sektora'!E11)</f>
      </c>
      <c r="E271" s="91"/>
      <c r="F271" s="92">
        <f>IF(ISNUMBER('Prijava ekipa i izvlačenje br.'!B11)=FALSE,"",'Prijava ekipa i izvlačenje br.'!B11)</f>
      </c>
      <c r="G271" s="97">
        <f>IF((D271)="","","D")</f>
      </c>
      <c r="H271" s="97">
        <f>IF(ISNUMBER('Upis rezultata D sektora'!C11)=FALSE,"",'Upis rezultata D sektora'!C11)</f>
      </c>
    </row>
    <row r="272" spans="2:8" ht="12.75">
      <c r="B272" s="40"/>
      <c r="C272" s="29"/>
      <c r="D272" s="29"/>
      <c r="E272" s="25"/>
      <c r="F272" s="25"/>
      <c r="G272" s="25"/>
      <c r="H272" s="25"/>
    </row>
    <row r="274" spans="1:9" ht="12.75">
      <c r="A274" s="36"/>
      <c r="B274" s="41"/>
      <c r="C274" s="42" t="s">
        <v>66</v>
      </c>
      <c r="D274" s="43"/>
      <c r="E274" s="44" t="s">
        <v>67</v>
      </c>
      <c r="F274" s="43"/>
      <c r="G274" s="44" t="s">
        <v>68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69</v>
      </c>
      <c r="C279" s="6">
        <f>IF(ISNONTEXT('Organizacija natjecanja'!H28)=TRUE,"",'Organizacija natjecanja'!H28)</f>
      </c>
      <c r="F279" s="6" t="s">
        <v>70</v>
      </c>
    </row>
    <row r="280" ht="12.75">
      <c r="B280" s="7"/>
    </row>
    <row r="281" ht="12.75">
      <c r="B281" s="7"/>
    </row>
    <row r="282" spans="2:3" ht="15">
      <c r="B282" s="31"/>
      <c r="C282" s="31" t="s">
        <v>60</v>
      </c>
    </row>
    <row r="283" ht="12.75">
      <c r="G283" s="18">
        <f>IF(ISNONTEXT('Organizacija natjecanja'!H5)=TRUE,"",'Organizacija natjecanja'!H5)</f>
      </c>
    </row>
    <row r="284" ht="12.75">
      <c r="G284" s="19" t="s">
        <v>61</v>
      </c>
    </row>
    <row r="286" spans="4:8" ht="18">
      <c r="D286" s="32"/>
      <c r="E286" s="32" t="s">
        <v>62</v>
      </c>
      <c r="F286" s="32"/>
      <c r="G286" s="32"/>
      <c r="H286" s="32"/>
    </row>
    <row r="288" spans="5:8" ht="15">
      <c r="E288" s="20">
        <f>IF(ISNONTEXT('Organizacija natjecanja'!H2)=TRUE,"",'Organizacija natjecanja'!H2)</f>
      </c>
      <c r="H288" s="21"/>
    </row>
    <row r="289" spans="4:8" ht="12.75">
      <c r="D289" s="7"/>
      <c r="E289" s="19" t="s">
        <v>63</v>
      </c>
      <c r="F289" s="7"/>
      <c r="G289" s="7"/>
      <c r="H289" s="7"/>
    </row>
    <row r="290" ht="12.75">
      <c r="D290" s="33"/>
    </row>
    <row r="291" spans="2:5" ht="15">
      <c r="B291" s="6" t="s">
        <v>59</v>
      </c>
      <c r="E291" s="20">
        <f>IF(ISNONTEXT('Upis rezultata C sektora'!D12)=TRUE,"",'Upis rezultata C sektora'!D12)</f>
      </c>
    </row>
    <row r="292" ht="12.75">
      <c r="E292" s="18"/>
    </row>
    <row r="293" spans="2:5" ht="12.75">
      <c r="B293" s="6" t="s">
        <v>52</v>
      </c>
      <c r="E293" s="18">
        <f>IF(ISNONTEXT('Organizacija natjecanja'!H9)=TRUE,"",'Organizacija natjecanja'!H9)</f>
      </c>
    </row>
    <row r="295" spans="1:9" ht="12.75">
      <c r="A295" s="36"/>
      <c r="B295" s="34" t="s">
        <v>53</v>
      </c>
      <c r="C295" s="34"/>
      <c r="D295" s="35" t="s">
        <v>54</v>
      </c>
      <c r="E295" s="34"/>
      <c r="F295" s="34" t="s">
        <v>64</v>
      </c>
      <c r="G295" s="35" t="s">
        <v>55</v>
      </c>
      <c r="H295" s="34" t="s">
        <v>65</v>
      </c>
      <c r="I295" s="36"/>
    </row>
    <row r="296" spans="2:8" ht="12.75">
      <c r="B296" s="37"/>
      <c r="C296" s="38"/>
      <c r="D296" s="38"/>
      <c r="E296" s="22"/>
      <c r="F296" s="22"/>
      <c r="G296" s="22"/>
      <c r="H296" s="39"/>
    </row>
    <row r="297" spans="2:8" s="68" customFormat="1" ht="15.75">
      <c r="B297" s="89">
        <f>VLOOKUP(D297,'Upis rezultata D sektora'!$E$2:$G$13,3,0)</f>
        <v>4</v>
      </c>
      <c r="C297" s="90"/>
      <c r="D297" s="96">
        <f>IF(ISNONTEXT('Upis rezultata D sektora'!E12)=TRUE,"",'Upis rezultata D sektora'!E12)</f>
      </c>
      <c r="E297" s="91"/>
      <c r="F297" s="92">
        <f>IF(ISNUMBER('Prijava ekipa i izvlačenje br.'!B12)=FALSE,"",'Prijava ekipa i izvlačenje br.'!B12)</f>
      </c>
      <c r="G297" s="97">
        <f>IF((D297)="","","D")</f>
      </c>
      <c r="H297" s="97">
        <f>IF(ISNUMBER('Upis rezultata D sektora'!C12)=FALSE,"",'Upis rezultata D sektora'!C12)</f>
      </c>
    </row>
    <row r="298" spans="2:8" ht="12.75">
      <c r="B298" s="40"/>
      <c r="C298" s="29"/>
      <c r="D298" s="29"/>
      <c r="E298" s="25"/>
      <c r="F298" s="25"/>
      <c r="G298" s="25"/>
      <c r="H298" s="25"/>
    </row>
    <row r="300" spans="1:9" ht="12.75">
      <c r="A300" s="36"/>
      <c r="B300" s="41"/>
      <c r="C300" s="42" t="s">
        <v>66</v>
      </c>
      <c r="D300" s="43"/>
      <c r="E300" s="44" t="s">
        <v>67</v>
      </c>
      <c r="F300" s="43"/>
      <c r="G300" s="44" t="s">
        <v>68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69</v>
      </c>
      <c r="C305" s="6">
        <f>IF(ISNONTEXT('Organizacija natjecanja'!H28)=TRUE,"",'Organizacija natjecanja'!H28)</f>
      </c>
      <c r="F305" s="6" t="s">
        <v>70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60</v>
      </c>
    </row>
    <row r="313" ht="12.75">
      <c r="G313" s="18">
        <f>IF(ISNONTEXT('Organizacija natjecanja'!H5)=TRUE,"",'Organizacija natjecanja'!H5)</f>
      </c>
    </row>
    <row r="314" ht="12.75">
      <c r="G314" s="19" t="s">
        <v>61</v>
      </c>
    </row>
    <row r="316" spans="4:8" ht="18">
      <c r="D316" s="32"/>
      <c r="E316" s="32" t="s">
        <v>62</v>
      </c>
      <c r="F316" s="32"/>
      <c r="G316" s="32"/>
      <c r="H316" s="32"/>
    </row>
    <row r="318" spans="5:8" ht="15">
      <c r="E318" s="20">
        <f>IF(ISNONTEXT('Organizacija natjecanja'!H2)=TRUE,"",'Organizacija natjecanja'!H2)</f>
      </c>
      <c r="H318" s="21"/>
    </row>
    <row r="319" spans="4:8" ht="12.75">
      <c r="D319" s="7"/>
      <c r="E319" s="19" t="s">
        <v>63</v>
      </c>
      <c r="F319" s="7"/>
      <c r="G319" s="7"/>
      <c r="H319" s="7"/>
    </row>
    <row r="320" ht="12.75">
      <c r="D320" s="33"/>
    </row>
    <row r="321" spans="2:5" ht="15">
      <c r="B321" s="6" t="s">
        <v>51</v>
      </c>
      <c r="E321" s="20">
        <f>IF(ISNONTEXT('Upis rezultata C sektora'!D13)=TRUE,"",'Upis rezultata C sektora'!D13)</f>
      </c>
    </row>
    <row r="322" ht="12.75">
      <c r="E322" s="18"/>
    </row>
    <row r="323" spans="2:5" ht="12.75">
      <c r="B323" s="6" t="s">
        <v>52</v>
      </c>
      <c r="E323" s="18">
        <f>IF(ISNONTEXT('Organizacija natjecanja'!H9)=TRUE,"",'Organizacija natjecanja'!H9)</f>
      </c>
    </row>
    <row r="325" spans="1:9" ht="12.75">
      <c r="A325" s="36"/>
      <c r="B325" s="34" t="s">
        <v>71</v>
      </c>
      <c r="C325" s="34"/>
      <c r="D325" s="35" t="s">
        <v>54</v>
      </c>
      <c r="E325" s="34"/>
      <c r="F325" s="34" t="s">
        <v>64</v>
      </c>
      <c r="G325" s="35" t="s">
        <v>55</v>
      </c>
      <c r="H325" s="34" t="s">
        <v>65</v>
      </c>
      <c r="I325" s="36"/>
    </row>
    <row r="326" spans="2:8" ht="12.75">
      <c r="B326" s="37"/>
      <c r="C326" s="38"/>
      <c r="D326" s="38"/>
      <c r="E326" s="22"/>
      <c r="F326" s="22"/>
      <c r="G326" s="22"/>
      <c r="H326" s="39"/>
    </row>
    <row r="327" spans="2:8" s="68" customFormat="1" ht="15.75">
      <c r="B327" s="89">
        <f>VLOOKUP(D327,'Upis rezultata D sektora'!$E$2:$G$13,3,0)</f>
        <v>4</v>
      </c>
      <c r="C327" s="90"/>
      <c r="D327" s="96">
        <f>IF(ISNONTEXT('Upis rezultata D sektora'!E13)=TRUE,"",'Upis rezultata D sektora'!E13)</f>
      </c>
      <c r="E327" s="91"/>
      <c r="F327" s="92">
        <f>IF(ISNUMBER('Prijava ekipa i izvlačenje br.'!B13)=FALSE,"",'Prijava ekipa i izvlačenje br.'!B13)</f>
      </c>
      <c r="G327" s="97">
        <f>IF((D327)="","","D")</f>
      </c>
      <c r="H327" s="97">
        <f>IF(ISNUMBER('Upis rezultata D sektora'!C13)=FALSE,"",'Upis rezultata D sektora'!C13)</f>
      </c>
    </row>
    <row r="328" spans="2:8" ht="12.75">
      <c r="B328" s="40"/>
      <c r="C328" s="29"/>
      <c r="D328" s="29"/>
      <c r="E328" s="25"/>
      <c r="F328" s="25"/>
      <c r="G328" s="25"/>
      <c r="H328" s="25"/>
    </row>
    <row r="330" spans="1:9" ht="12.75">
      <c r="A330" s="36"/>
      <c r="B330" s="41"/>
      <c r="C330" s="42" t="s">
        <v>66</v>
      </c>
      <c r="D330" s="43"/>
      <c r="E330" s="44" t="s">
        <v>67</v>
      </c>
      <c r="F330" s="43"/>
      <c r="G330" s="44" t="s">
        <v>68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69</v>
      </c>
      <c r="C335" s="6">
        <f>IF(ISNONTEXT('Organizacija natjecanja'!H28)=TRUE,"",'Organizacija natjecanja'!H28)</f>
      </c>
      <c r="F335" s="6" t="s">
        <v>70</v>
      </c>
    </row>
    <row r="336" ht="12.75">
      <c r="B336" s="7"/>
    </row>
  </sheetData>
  <sheetProtection password="C7E2" sheet="1" objects="1" scenarios="1"/>
  <printOptions/>
  <pageMargins left="0.7480314960629921" right="0.7480314960629921" top="0.78" bottom="0.79" header="0.64" footer="0.4330708661417323"/>
  <pageSetup horizontalDpi="300" verticalDpi="300" orientation="portrait" paperSize="9" r:id="rId3"/>
  <headerFooter alignWithMargins="0">
    <oddFooter>&amp;C&amp;"Arial,Kurziv"&amp;12&amp;YProgram za izračun rezultata i provođenje natjecanja</oddFooter>
  </headerFooter>
  <legacyDrawing r:id="rId2"/>
</worksheet>
</file>

<file path=xl/worksheets/sheet9.xml><?xml version="1.0" encoding="utf-8"?>
<worksheet xmlns="http://schemas.openxmlformats.org/spreadsheetml/2006/main" xmlns:r="http://schemas.openxmlformats.org/officeDocument/2006/relationships">
  <sheetPr codeName="Sheet15">
    <tabColor indexed="11"/>
  </sheetPr>
  <dimension ref="A2:I336"/>
  <sheetViews>
    <sheetView showGridLines="0" showRowColHeaders="0" zoomScalePageLayoutView="0" workbookViewId="0" topLeftCell="A1">
      <selection activeCell="O28" sqref="O28"/>
    </sheetView>
  </sheetViews>
  <sheetFormatPr defaultColWidth="9.140625" defaultRowHeight="12.75"/>
  <cols>
    <col min="1" max="16384" width="9.140625" style="6" customWidth="1"/>
  </cols>
  <sheetData>
    <row r="2" spans="2:8" ht="15">
      <c r="B2" s="31"/>
      <c r="C2" s="31" t="s">
        <v>60</v>
      </c>
      <c r="H2" s="8"/>
    </row>
    <row r="3" ht="12.75">
      <c r="G3" s="18">
        <f>IF(ISNONTEXT('Organizacija natjecanja'!H5)=TRUE,"",'Organizacija natjecanja'!H5)</f>
      </c>
    </row>
    <row r="4" ht="12.75">
      <c r="G4" s="19" t="s">
        <v>61</v>
      </c>
    </row>
    <row r="5" ht="12.75">
      <c r="H5" s="8"/>
    </row>
    <row r="6" spans="4:8" ht="18">
      <c r="D6" s="32"/>
      <c r="E6" s="32" t="s">
        <v>62</v>
      </c>
      <c r="F6" s="32"/>
      <c r="G6" s="32"/>
      <c r="H6" s="32"/>
    </row>
    <row r="8" spans="5:8" ht="15">
      <c r="E8" s="20">
        <f>IF(ISNONTEXT('Organizacija natjecanja'!H2)=TRUE,"",'Organizacija natjecanja'!H2)</f>
      </c>
      <c r="H8" s="21"/>
    </row>
    <row r="9" spans="4:8" ht="12.75">
      <c r="D9" s="7"/>
      <c r="E9" s="19" t="s">
        <v>63</v>
      </c>
      <c r="F9" s="7"/>
      <c r="G9" s="7"/>
      <c r="H9" s="7"/>
    </row>
    <row r="10" ht="12.75">
      <c r="D10" s="33"/>
    </row>
    <row r="11" spans="2:5" ht="15">
      <c r="B11" s="6" t="s">
        <v>59</v>
      </c>
      <c r="E11" s="20">
        <f>IF(ISNONTEXT('Upis rezultata C sektora'!D2)=TRUE,"",'Upis rezultata C sektora'!D2)</f>
      </c>
    </row>
    <row r="12" ht="12.75">
      <c r="E12" s="18"/>
    </row>
    <row r="13" spans="2:5" ht="12.75">
      <c r="B13" s="6" t="s">
        <v>52</v>
      </c>
      <c r="E13" s="18">
        <f>IF(ISNONTEXT('Organizacija natjecanja'!H9)=TRUE,"",'Organizacija natjecanja'!H9)</f>
      </c>
    </row>
    <row r="15" spans="2:8" s="36" customFormat="1" ht="12">
      <c r="B15" s="34" t="s">
        <v>53</v>
      </c>
      <c r="C15" s="34"/>
      <c r="D15" s="35" t="s">
        <v>54</v>
      </c>
      <c r="E15" s="34"/>
      <c r="F15" s="34" t="s">
        <v>64</v>
      </c>
      <c r="G15" s="35" t="s">
        <v>55</v>
      </c>
      <c r="H15" s="34" t="s">
        <v>65</v>
      </c>
    </row>
    <row r="16" spans="2:8" ht="12.75">
      <c r="B16" s="37"/>
      <c r="C16" s="38"/>
      <c r="D16" s="38"/>
      <c r="E16" s="22"/>
      <c r="F16" s="22"/>
      <c r="G16" s="22"/>
      <c r="H16" s="39"/>
    </row>
    <row r="17" spans="2:8" s="68" customFormat="1" ht="15.75">
      <c r="B17" s="89">
        <f>VLOOKUP(D17,'Upis rezultata E sektora'!$E$2:$G$13,3,0)</f>
        <v>5</v>
      </c>
      <c r="C17" s="90"/>
      <c r="D17" s="96">
        <f>IF(ISNONTEXT('Upis rezultata E sektora'!E2)=TRUE,"",'Upis rezultata E sektora'!E2)</f>
      </c>
      <c r="E17" s="91"/>
      <c r="F17" s="92">
        <f>IF(ISNUMBER('Prijava ekipa i izvlačenje br.'!B2)=FALSE,"",'Prijava ekipa i izvlačenje br.'!B2)</f>
      </c>
      <c r="G17" s="97">
        <f>IF((D17)="","","E")</f>
      </c>
      <c r="H17" s="97">
        <f>IF(ISNUMBER('Upis rezultata E sektora'!C2)=FALSE,"",'Upis rezultata E sektora'!C2)</f>
      </c>
    </row>
    <row r="18" spans="2:8" ht="12.75">
      <c r="B18" s="40"/>
      <c r="C18" s="29"/>
      <c r="D18" s="29"/>
      <c r="E18" s="25"/>
      <c r="F18" s="25"/>
      <c r="G18" s="25"/>
      <c r="H18" s="25"/>
    </row>
    <row r="20" spans="2:8" s="36" customFormat="1" ht="12">
      <c r="B20" s="41"/>
      <c r="C20" s="42" t="s">
        <v>66</v>
      </c>
      <c r="D20" s="43"/>
      <c r="E20" s="44" t="s">
        <v>67</v>
      </c>
      <c r="F20" s="43"/>
      <c r="G20" s="44" t="s">
        <v>68</v>
      </c>
      <c r="H20" s="43"/>
    </row>
    <row r="21" spans="2:8" ht="12.75">
      <c r="B21" s="23"/>
      <c r="C21" s="26"/>
      <c r="D21" s="24"/>
      <c r="E21" s="26"/>
      <c r="F21" s="24"/>
      <c r="G21" s="26"/>
      <c r="H21" s="24"/>
    </row>
    <row r="22" spans="2:8" ht="12.75">
      <c r="B22" s="23"/>
      <c r="C22" s="27"/>
      <c r="D22" s="24"/>
      <c r="E22" s="45"/>
      <c r="F22" s="24"/>
      <c r="G22" s="45"/>
      <c r="H22" s="24"/>
    </row>
    <row r="23" spans="2:8" ht="12.75">
      <c r="B23" s="28"/>
      <c r="C23" s="29"/>
      <c r="D23" s="25"/>
      <c r="E23" s="29"/>
      <c r="F23" s="25"/>
      <c r="G23" s="29"/>
      <c r="H23" s="25"/>
    </row>
    <row r="25" spans="2:6" ht="12.75">
      <c r="B25" s="7" t="s">
        <v>69</v>
      </c>
      <c r="C25" s="6">
        <f>IF(ISNONTEXT('Organizacija natjecanja'!H30)=TRUE,"",'Organizacija natjecanja'!H30)</f>
      </c>
      <c r="F25" s="6" t="s">
        <v>70</v>
      </c>
    </row>
    <row r="26" ht="12.75">
      <c r="B26" s="7"/>
    </row>
    <row r="27" ht="12.75">
      <c r="B27" s="7"/>
    </row>
    <row r="28" ht="12.75">
      <c r="B28" s="7"/>
    </row>
    <row r="29" spans="1:9" ht="12.75">
      <c r="A29" s="30"/>
      <c r="B29" s="46"/>
      <c r="C29" s="30"/>
      <c r="D29" s="30"/>
      <c r="E29" s="30"/>
      <c r="F29" s="30"/>
      <c r="G29" s="30"/>
      <c r="H29" s="30"/>
      <c r="I29" s="30"/>
    </row>
    <row r="30" spans="1:9" ht="12.75" customHeight="1">
      <c r="A30" s="30"/>
      <c r="B30" s="46"/>
      <c r="C30" s="30"/>
      <c r="D30" s="30"/>
      <c r="E30" s="30"/>
      <c r="F30" s="30"/>
      <c r="G30" s="30"/>
      <c r="H30" s="30"/>
      <c r="I30" s="30"/>
    </row>
    <row r="32" spans="2:3" ht="15">
      <c r="B32" s="31"/>
      <c r="C32" s="31" t="s">
        <v>60</v>
      </c>
    </row>
    <row r="33" ht="12.75">
      <c r="G33" s="18">
        <f>IF(ISNONTEXT('Organizacija natjecanja'!H5)=TRUE,"",'Organizacija natjecanja'!H5)</f>
      </c>
    </row>
    <row r="34" ht="12.75">
      <c r="G34" s="19" t="s">
        <v>61</v>
      </c>
    </row>
    <row r="36" spans="4:8" ht="18">
      <c r="D36" s="32"/>
      <c r="E36" s="32" t="s">
        <v>62</v>
      </c>
      <c r="F36" s="32"/>
      <c r="G36" s="32"/>
      <c r="H36" s="32"/>
    </row>
    <row r="38" spans="5:8" ht="15">
      <c r="E38" s="20">
        <f>IF(ISNONTEXT('Organizacija natjecanja'!H2)=TRUE,"",'Organizacija natjecanja'!H2)</f>
      </c>
      <c r="H38" s="21"/>
    </row>
    <row r="39" spans="4:8" ht="12.75">
      <c r="D39" s="7"/>
      <c r="E39" s="19" t="s">
        <v>63</v>
      </c>
      <c r="F39" s="7"/>
      <c r="G39" s="7"/>
      <c r="H39" s="7"/>
    </row>
    <row r="40" ht="12.75">
      <c r="D40" s="33"/>
    </row>
    <row r="41" spans="2:5" ht="15">
      <c r="B41" s="6" t="s">
        <v>51</v>
      </c>
      <c r="E41" s="20">
        <f>IF(ISNONTEXT('Upis rezultata C sektora'!D3)=TRUE,"",'Upis rezultata C sektora'!D3)</f>
      </c>
    </row>
    <row r="42" ht="12.75">
      <c r="E42" s="18"/>
    </row>
    <row r="43" spans="2:5" ht="12.75">
      <c r="B43" s="6" t="s">
        <v>52</v>
      </c>
      <c r="E43" s="18">
        <f>IF(ISNONTEXT('Organizacija natjecanja'!H9)=TRUE,"",'Organizacija natjecanja'!H9)</f>
      </c>
    </row>
    <row r="45" spans="2:8" s="36" customFormat="1" ht="12">
      <c r="B45" s="34" t="s">
        <v>71</v>
      </c>
      <c r="C45" s="34"/>
      <c r="D45" s="35" t="s">
        <v>54</v>
      </c>
      <c r="E45" s="34"/>
      <c r="F45" s="34" t="s">
        <v>64</v>
      </c>
      <c r="G45" s="35" t="s">
        <v>55</v>
      </c>
      <c r="H45" s="34" t="s">
        <v>65</v>
      </c>
    </row>
    <row r="46" spans="2:8" ht="12.75">
      <c r="B46" s="37"/>
      <c r="C46" s="38"/>
      <c r="D46" s="38"/>
      <c r="E46" s="22"/>
      <c r="F46" s="22"/>
      <c r="G46" s="22"/>
      <c r="H46" s="39"/>
    </row>
    <row r="47" spans="2:8" s="68" customFormat="1" ht="15.75">
      <c r="B47" s="89">
        <f>VLOOKUP(D47,'Upis rezultata E sektora'!$E$2:$G$13,3,0)</f>
        <v>5</v>
      </c>
      <c r="C47" s="90"/>
      <c r="D47" s="96">
        <f>IF(ISNONTEXT('Upis rezultata E sektora'!E3)=TRUE,"",'Upis rezultata E sektora'!E3)</f>
      </c>
      <c r="E47" s="91"/>
      <c r="F47" s="92">
        <f>IF(ISNUMBER('Prijava ekipa i izvlačenje br.'!B3)=FALSE,"",'Prijava ekipa i izvlačenje br.'!B3)</f>
      </c>
      <c r="G47" s="97">
        <f>IF((D47)="","","E")</f>
      </c>
      <c r="H47" s="97">
        <f>IF(ISNUMBER('Upis rezultata E sektora'!C3)=FALSE,"",'Upis rezultata E sektora'!C3)</f>
      </c>
    </row>
    <row r="48" spans="2:8" ht="12.75">
      <c r="B48" s="40"/>
      <c r="C48" s="29"/>
      <c r="D48" s="29"/>
      <c r="E48" s="25"/>
      <c r="F48" s="25"/>
      <c r="G48" s="25"/>
      <c r="H48" s="25"/>
    </row>
    <row r="50" spans="2:8" s="36" customFormat="1" ht="12">
      <c r="B50" s="41"/>
      <c r="C50" s="42" t="s">
        <v>66</v>
      </c>
      <c r="D50" s="43"/>
      <c r="E50" s="44" t="s">
        <v>67</v>
      </c>
      <c r="F50" s="43"/>
      <c r="G50" s="44" t="s">
        <v>68</v>
      </c>
      <c r="H50" s="43"/>
    </row>
    <row r="51" spans="2:8" ht="12.75">
      <c r="B51" s="23"/>
      <c r="C51" s="26"/>
      <c r="D51" s="24"/>
      <c r="E51" s="26"/>
      <c r="F51" s="24"/>
      <c r="G51" s="26"/>
      <c r="H51" s="24"/>
    </row>
    <row r="52" spans="2:8" ht="12.75">
      <c r="B52" s="23"/>
      <c r="C52" s="27"/>
      <c r="D52" s="24"/>
      <c r="E52" s="45"/>
      <c r="F52" s="24"/>
      <c r="G52" s="45"/>
      <c r="H52" s="24"/>
    </row>
    <row r="53" spans="2:8" ht="12.75">
      <c r="B53" s="28"/>
      <c r="C53" s="29"/>
      <c r="D53" s="25"/>
      <c r="E53" s="29"/>
      <c r="F53" s="25"/>
      <c r="G53" s="29"/>
      <c r="H53" s="25"/>
    </row>
    <row r="55" spans="2:6" ht="12.75">
      <c r="B55" s="7" t="s">
        <v>69</v>
      </c>
      <c r="C55" s="6">
        <f>IF(ISNONTEXT('Organizacija natjecanja'!H30)=TRUE,"",'Organizacija natjecanja'!H30)</f>
      </c>
      <c r="F55" s="6" t="s">
        <v>70</v>
      </c>
    </row>
    <row r="56" ht="12.75">
      <c r="B56" s="7"/>
    </row>
    <row r="57" ht="12.75">
      <c r="B57" s="7"/>
    </row>
    <row r="58" spans="2:3" ht="15">
      <c r="B58" s="31"/>
      <c r="C58" s="31" t="s">
        <v>60</v>
      </c>
    </row>
    <row r="59" ht="12.75">
      <c r="G59" s="18">
        <f>IF(ISNONTEXT('Organizacija natjecanja'!H5)=TRUE,"",'Organizacija natjecanja'!H5)</f>
      </c>
    </row>
    <row r="60" ht="12.75">
      <c r="G60" s="19" t="s">
        <v>61</v>
      </c>
    </row>
    <row r="62" spans="4:8" ht="18">
      <c r="D62" s="32"/>
      <c r="E62" s="32" t="s">
        <v>62</v>
      </c>
      <c r="F62" s="32"/>
      <c r="G62" s="32"/>
      <c r="H62" s="32"/>
    </row>
    <row r="64" spans="5:8" ht="15">
      <c r="E64" s="20">
        <f>IF(ISNONTEXT('Organizacija natjecanja'!H2)=TRUE,"",'Organizacija natjecanja'!H2)</f>
      </c>
      <c r="H64" s="21"/>
    </row>
    <row r="65" spans="4:8" ht="12.75">
      <c r="D65" s="7"/>
      <c r="E65" s="19" t="s">
        <v>63</v>
      </c>
      <c r="F65" s="7"/>
      <c r="G65" s="7"/>
      <c r="H65" s="7"/>
    </row>
    <row r="66" ht="12.75">
      <c r="D66" s="33"/>
    </row>
    <row r="67" spans="2:5" ht="15">
      <c r="B67" s="6" t="s">
        <v>59</v>
      </c>
      <c r="E67" s="20">
        <f>IF(ISNONTEXT('Upis rezultata C sektora'!D4)=TRUE,"",'Upis rezultata C sektora'!D4)</f>
      </c>
    </row>
    <row r="68" ht="12.75">
      <c r="E68" s="18"/>
    </row>
    <row r="69" spans="2:5" ht="12.75">
      <c r="B69" s="6" t="s">
        <v>52</v>
      </c>
      <c r="E69" s="18">
        <f>IF(ISNONTEXT('Organizacija natjecanja'!H9)=TRUE,"",'Organizacija natjecanja'!H9)</f>
      </c>
    </row>
    <row r="71" spans="1:9" ht="12.75">
      <c r="A71" s="36"/>
      <c r="B71" s="34" t="s">
        <v>53</v>
      </c>
      <c r="C71" s="34"/>
      <c r="D71" s="35" t="s">
        <v>54</v>
      </c>
      <c r="E71" s="34"/>
      <c r="F71" s="34" t="s">
        <v>64</v>
      </c>
      <c r="G71" s="35" t="s">
        <v>55</v>
      </c>
      <c r="H71" s="34" t="s">
        <v>65</v>
      </c>
      <c r="I71" s="36"/>
    </row>
    <row r="72" spans="2:8" ht="12.75">
      <c r="B72" s="37"/>
      <c r="C72" s="38"/>
      <c r="D72" s="38"/>
      <c r="E72" s="22"/>
      <c r="F72" s="22"/>
      <c r="G72" s="22"/>
      <c r="H72" s="39"/>
    </row>
    <row r="73" spans="2:8" s="68" customFormat="1" ht="15.75">
      <c r="B73" s="89">
        <f>VLOOKUP(D73,'Upis rezultata E sektora'!$E$2:$G$13,3,0)</f>
        <v>5</v>
      </c>
      <c r="C73" s="90"/>
      <c r="D73" s="96">
        <f>IF(ISNONTEXT('Upis rezultata E sektora'!E4)=TRUE,"",'Upis rezultata E sektora'!E4)</f>
      </c>
      <c r="E73" s="91"/>
      <c r="F73" s="92">
        <f>IF(ISNUMBER('Prijava ekipa i izvlačenje br.'!B4)=FALSE,"",'Prijava ekipa i izvlačenje br.'!B4)</f>
      </c>
      <c r="G73" s="97">
        <f>IF((D73)="","","E")</f>
      </c>
      <c r="H73" s="97">
        <f>IF(ISNUMBER('Upis rezultata E sektora'!C4)=FALSE,"",'Upis rezultata E sektora'!C4)</f>
      </c>
    </row>
    <row r="74" spans="2:8" ht="12.75">
      <c r="B74" s="40"/>
      <c r="C74" s="29"/>
      <c r="D74" s="29"/>
      <c r="E74" s="25"/>
      <c r="F74" s="25"/>
      <c r="G74" s="25"/>
      <c r="H74" s="25"/>
    </row>
    <row r="76" spans="1:9" ht="12.75">
      <c r="A76" s="36"/>
      <c r="B76" s="41"/>
      <c r="C76" s="42" t="s">
        <v>66</v>
      </c>
      <c r="D76" s="43"/>
      <c r="E76" s="44" t="s">
        <v>67</v>
      </c>
      <c r="F76" s="43"/>
      <c r="G76" s="44" t="s">
        <v>68</v>
      </c>
      <c r="H76" s="43"/>
      <c r="I76" s="36"/>
    </row>
    <row r="77" spans="2:8" ht="12.75">
      <c r="B77" s="23"/>
      <c r="C77" s="26"/>
      <c r="D77" s="24"/>
      <c r="E77" s="26"/>
      <c r="F77" s="24"/>
      <c r="G77" s="26"/>
      <c r="H77" s="24"/>
    </row>
    <row r="78" spans="2:8" ht="12.75">
      <c r="B78" s="23"/>
      <c r="C78" s="27"/>
      <c r="D78" s="24"/>
      <c r="E78" s="45"/>
      <c r="F78" s="24"/>
      <c r="G78" s="45"/>
      <c r="H78" s="24"/>
    </row>
    <row r="79" spans="2:8" ht="12.75">
      <c r="B79" s="28"/>
      <c r="C79" s="29"/>
      <c r="D79" s="25"/>
      <c r="E79" s="29"/>
      <c r="F79" s="25"/>
      <c r="G79" s="29"/>
      <c r="H79" s="25"/>
    </row>
    <row r="81" spans="2:6" ht="12.75">
      <c r="B81" s="7" t="s">
        <v>69</v>
      </c>
      <c r="C81" s="6">
        <f>IF(ISNONTEXT('Organizacija natjecanja'!H30)=TRUE,"",'Organizacija natjecanja'!H30)</f>
      </c>
      <c r="F81" s="6" t="s">
        <v>70</v>
      </c>
    </row>
    <row r="82" ht="12.75">
      <c r="B82" s="7"/>
    </row>
    <row r="83" ht="12.75">
      <c r="B83" s="7"/>
    </row>
    <row r="84" ht="12.75">
      <c r="B84" s="7"/>
    </row>
    <row r="85" spans="1:9" ht="12.75">
      <c r="A85" s="30"/>
      <c r="B85" s="46"/>
      <c r="C85" s="30"/>
      <c r="D85" s="30"/>
      <c r="E85" s="30"/>
      <c r="F85" s="30"/>
      <c r="G85" s="30"/>
      <c r="H85" s="30"/>
      <c r="I85" s="30"/>
    </row>
    <row r="86" spans="1:9" ht="12.75">
      <c r="A86" s="30"/>
      <c r="B86" s="46"/>
      <c r="C86" s="30"/>
      <c r="D86" s="30"/>
      <c r="E86" s="30"/>
      <c r="F86" s="30"/>
      <c r="G86" s="30"/>
      <c r="H86" s="30"/>
      <c r="I86" s="30"/>
    </row>
    <row r="88" spans="2:3" ht="15">
      <c r="B88" s="31"/>
      <c r="C88" s="31" t="s">
        <v>60</v>
      </c>
    </row>
    <row r="89" ht="12.75">
      <c r="G89" s="18">
        <f>IF(ISNONTEXT('Organizacija natjecanja'!H5)=TRUE,"",'Organizacija natjecanja'!H5)</f>
      </c>
    </row>
    <row r="90" ht="12.75">
      <c r="G90" s="19" t="s">
        <v>61</v>
      </c>
    </row>
    <row r="92" spans="4:8" ht="18">
      <c r="D92" s="32"/>
      <c r="E92" s="32" t="s">
        <v>62</v>
      </c>
      <c r="F92" s="32"/>
      <c r="G92" s="32"/>
      <c r="H92" s="32"/>
    </row>
    <row r="94" spans="5:8" ht="15">
      <c r="E94" s="20">
        <f>IF(ISNONTEXT('Organizacija natjecanja'!H2)=TRUE,"",'Organizacija natjecanja'!H2)</f>
      </c>
      <c r="H94" s="21"/>
    </row>
    <row r="95" spans="4:8" ht="12.75">
      <c r="D95" s="7"/>
      <c r="E95" s="19" t="s">
        <v>63</v>
      </c>
      <c r="F95" s="7"/>
      <c r="G95" s="7"/>
      <c r="H95" s="7"/>
    </row>
    <row r="96" ht="12.75">
      <c r="D96" s="33"/>
    </row>
    <row r="97" spans="2:5" ht="15">
      <c r="B97" s="6" t="s">
        <v>51</v>
      </c>
      <c r="E97" s="20">
        <f>IF(ISNONTEXT('Upis rezultata C sektora'!D5)=TRUE,"",'Upis rezultata C sektora'!D5)</f>
      </c>
    </row>
    <row r="98" ht="12.75">
      <c r="E98" s="18"/>
    </row>
    <row r="99" spans="2:5" ht="12.75">
      <c r="B99" s="6" t="s">
        <v>52</v>
      </c>
      <c r="E99" s="18">
        <f>IF(ISNONTEXT('Organizacija natjecanja'!H9)=TRUE,"",'Organizacija natjecanja'!H9)</f>
      </c>
    </row>
    <row r="101" spans="1:9" ht="12.75">
      <c r="A101" s="36"/>
      <c r="B101" s="34" t="s">
        <v>71</v>
      </c>
      <c r="C101" s="34"/>
      <c r="D101" s="35" t="s">
        <v>54</v>
      </c>
      <c r="E101" s="34"/>
      <c r="F101" s="34" t="s">
        <v>64</v>
      </c>
      <c r="G101" s="35" t="s">
        <v>55</v>
      </c>
      <c r="H101" s="34" t="s">
        <v>65</v>
      </c>
      <c r="I101" s="36"/>
    </row>
    <row r="102" spans="2:8" ht="12.75">
      <c r="B102" s="37"/>
      <c r="C102" s="38"/>
      <c r="D102" s="38"/>
      <c r="E102" s="22"/>
      <c r="F102" s="22"/>
      <c r="G102" s="22"/>
      <c r="H102" s="39"/>
    </row>
    <row r="103" spans="2:8" s="68" customFormat="1" ht="15.75">
      <c r="B103" s="89">
        <f>VLOOKUP(D103,'Upis rezultata E sektora'!$E$2:$G$13,3,0)</f>
        <v>5</v>
      </c>
      <c r="C103" s="90"/>
      <c r="D103" s="96">
        <f>IF(ISNONTEXT('Upis rezultata E sektora'!E5)=TRUE,"",'Upis rezultata E sektora'!E5)</f>
      </c>
      <c r="E103" s="91"/>
      <c r="F103" s="92">
        <f>IF(ISNUMBER('Prijava ekipa i izvlačenje br.'!B5)=FALSE,"",'Prijava ekipa i izvlačenje br.'!B5)</f>
      </c>
      <c r="G103" s="97">
        <f>IF((D103)="","","E")</f>
      </c>
      <c r="H103" s="97">
        <f>IF(ISNUMBER('Upis rezultata E sektora'!C5)=FALSE,"",'Upis rezultata E sektora'!C5)</f>
      </c>
    </row>
    <row r="104" spans="2:8" ht="12.75">
      <c r="B104" s="40"/>
      <c r="C104" s="29"/>
      <c r="D104" s="29"/>
      <c r="E104" s="25"/>
      <c r="F104" s="25"/>
      <c r="G104" s="25"/>
      <c r="H104" s="25"/>
    </row>
    <row r="106" spans="1:9" ht="12.75">
      <c r="A106" s="36"/>
      <c r="B106" s="41"/>
      <c r="C106" s="42" t="s">
        <v>66</v>
      </c>
      <c r="D106" s="43"/>
      <c r="E106" s="44" t="s">
        <v>67</v>
      </c>
      <c r="F106" s="43"/>
      <c r="G106" s="44" t="s">
        <v>68</v>
      </c>
      <c r="H106" s="43"/>
      <c r="I106" s="36"/>
    </row>
    <row r="107" spans="2:8" ht="12.75">
      <c r="B107" s="23"/>
      <c r="C107" s="26"/>
      <c r="D107" s="24"/>
      <c r="E107" s="26"/>
      <c r="F107" s="24"/>
      <c r="G107" s="26"/>
      <c r="H107" s="24"/>
    </row>
    <row r="108" spans="2:8" ht="12.75">
      <c r="B108" s="23"/>
      <c r="C108" s="27"/>
      <c r="D108" s="24"/>
      <c r="E108" s="45"/>
      <c r="F108" s="24"/>
      <c r="G108" s="45"/>
      <c r="H108" s="24"/>
    </row>
    <row r="109" spans="2:8" ht="12.75">
      <c r="B109" s="28"/>
      <c r="C109" s="29"/>
      <c r="D109" s="25"/>
      <c r="E109" s="29"/>
      <c r="F109" s="25"/>
      <c r="G109" s="29"/>
      <c r="H109" s="25"/>
    </row>
    <row r="111" spans="2:6" ht="12.75">
      <c r="B111" s="7" t="s">
        <v>69</v>
      </c>
      <c r="C111" s="6">
        <f>IF(ISNONTEXT('Organizacija natjecanja'!H30)=TRUE,"",'Organizacija natjecanja'!H30)</f>
      </c>
      <c r="F111" s="6" t="s">
        <v>70</v>
      </c>
    </row>
    <row r="112" ht="12.75">
      <c r="B112" s="7"/>
    </row>
    <row r="113" ht="12.75">
      <c r="B113" s="7"/>
    </row>
    <row r="114" spans="2:3" ht="15">
      <c r="B114" s="31"/>
      <c r="C114" s="31" t="s">
        <v>60</v>
      </c>
    </row>
    <row r="115" ht="12.75">
      <c r="G115" s="18">
        <f>IF(ISNONTEXT('Organizacija natjecanja'!H5)=TRUE,"",'Organizacija natjecanja'!H5)</f>
      </c>
    </row>
    <row r="116" ht="12.75">
      <c r="G116" s="19" t="s">
        <v>61</v>
      </c>
    </row>
    <row r="118" spans="4:8" ht="18">
      <c r="D118" s="32"/>
      <c r="E118" s="32" t="s">
        <v>62</v>
      </c>
      <c r="F118" s="32"/>
      <c r="G118" s="32"/>
      <c r="H118" s="32"/>
    </row>
    <row r="120" spans="5:8" ht="15">
      <c r="E120" s="20">
        <f>IF(ISNONTEXT('Organizacija natjecanja'!H2)=TRUE,"",'Organizacija natjecanja'!H2)</f>
      </c>
      <c r="H120" s="21"/>
    </row>
    <row r="121" spans="4:8" ht="12.75">
      <c r="D121" s="7"/>
      <c r="E121" s="19" t="s">
        <v>63</v>
      </c>
      <c r="F121" s="7"/>
      <c r="G121" s="7"/>
      <c r="H121" s="7"/>
    </row>
    <row r="122" ht="12.75">
      <c r="D122" s="33"/>
    </row>
    <row r="123" spans="2:5" ht="15">
      <c r="B123" s="6" t="s">
        <v>59</v>
      </c>
      <c r="E123" s="20">
        <f>IF(ISNONTEXT('Upis rezultata C sektora'!D6)=TRUE,"",'Upis rezultata C sektora'!D6)</f>
      </c>
    </row>
    <row r="124" ht="12.75">
      <c r="E124" s="18"/>
    </row>
    <row r="125" spans="2:5" ht="12.75">
      <c r="B125" s="6" t="s">
        <v>52</v>
      </c>
      <c r="E125" s="18">
        <f>IF(ISNONTEXT('Organizacija natjecanja'!H9)=TRUE,"",'Organizacija natjecanja'!H9)</f>
      </c>
    </row>
    <row r="127" spans="1:9" ht="12.75">
      <c r="A127" s="36"/>
      <c r="B127" s="34" t="s">
        <v>53</v>
      </c>
      <c r="C127" s="34"/>
      <c r="D127" s="35" t="s">
        <v>54</v>
      </c>
      <c r="E127" s="34"/>
      <c r="F127" s="34" t="s">
        <v>64</v>
      </c>
      <c r="G127" s="35" t="s">
        <v>55</v>
      </c>
      <c r="H127" s="34" t="s">
        <v>65</v>
      </c>
      <c r="I127" s="36"/>
    </row>
    <row r="128" spans="2:8" ht="12.75">
      <c r="B128" s="37"/>
      <c r="C128" s="38"/>
      <c r="D128" s="38"/>
      <c r="E128" s="22"/>
      <c r="F128" s="22"/>
      <c r="G128" s="22"/>
      <c r="H128" s="39"/>
    </row>
    <row r="129" spans="2:8" s="68" customFormat="1" ht="15.75">
      <c r="B129" s="89">
        <f>VLOOKUP(D129,'Upis rezultata E sektora'!$E$2:$G$13,3,0)</f>
        <v>5</v>
      </c>
      <c r="C129" s="90"/>
      <c r="D129" s="96">
        <f>IF(ISNONTEXT('Upis rezultata E sektora'!E6)=TRUE,"",'Upis rezultata E sektora'!E6)</f>
      </c>
      <c r="E129" s="91"/>
      <c r="F129" s="92">
        <f>IF(ISNUMBER('Prijava ekipa i izvlačenje br.'!B6)=FALSE,"",'Prijava ekipa i izvlačenje br.'!B6)</f>
      </c>
      <c r="G129" s="97">
        <f>IF((D129)="","","E")</f>
      </c>
      <c r="H129" s="97">
        <f>IF(ISNUMBER('Upis rezultata E sektora'!C6)=FALSE,"",'Upis rezultata E sektora'!C6)</f>
      </c>
    </row>
    <row r="130" spans="2:8" ht="12.75">
      <c r="B130" s="40"/>
      <c r="C130" s="29"/>
      <c r="D130" s="29"/>
      <c r="E130" s="25"/>
      <c r="F130" s="25"/>
      <c r="G130" s="25"/>
      <c r="H130" s="25"/>
    </row>
    <row r="132" spans="1:9" ht="12.75">
      <c r="A132" s="36"/>
      <c r="B132" s="41"/>
      <c r="C132" s="42" t="s">
        <v>66</v>
      </c>
      <c r="D132" s="43"/>
      <c r="E132" s="44" t="s">
        <v>67</v>
      </c>
      <c r="F132" s="43"/>
      <c r="G132" s="44" t="s">
        <v>68</v>
      </c>
      <c r="H132" s="43"/>
      <c r="I132" s="36"/>
    </row>
    <row r="133" spans="2:8" ht="12.75">
      <c r="B133" s="23"/>
      <c r="C133" s="26"/>
      <c r="D133" s="24"/>
      <c r="E133" s="26"/>
      <c r="F133" s="24"/>
      <c r="G133" s="26"/>
      <c r="H133" s="24"/>
    </row>
    <row r="134" spans="2:8" ht="12.75">
      <c r="B134" s="23"/>
      <c r="C134" s="27"/>
      <c r="D134" s="24"/>
      <c r="E134" s="45"/>
      <c r="F134" s="24"/>
      <c r="G134" s="45"/>
      <c r="H134" s="24"/>
    </row>
    <row r="135" spans="2:8" ht="12.75">
      <c r="B135" s="28"/>
      <c r="C135" s="29"/>
      <c r="D135" s="25"/>
      <c r="E135" s="29"/>
      <c r="F135" s="25"/>
      <c r="G135" s="29"/>
      <c r="H135" s="25"/>
    </row>
    <row r="137" spans="2:6" ht="12.75">
      <c r="B137" s="7" t="s">
        <v>69</v>
      </c>
      <c r="C137" s="6">
        <f>IF(ISNONTEXT('Organizacija natjecanja'!H30)=TRUE,"",'Organizacija natjecanja'!H30)</f>
      </c>
      <c r="F137" s="6" t="s">
        <v>70</v>
      </c>
    </row>
    <row r="138" ht="12.75">
      <c r="B138" s="7"/>
    </row>
    <row r="139" ht="12.75">
      <c r="B139" s="7"/>
    </row>
    <row r="140" ht="12.75">
      <c r="B140" s="7"/>
    </row>
    <row r="141" ht="12.75">
      <c r="B141" s="7"/>
    </row>
    <row r="142" ht="12.75">
      <c r="B142" s="7"/>
    </row>
    <row r="144" spans="2:3" ht="15">
      <c r="B144" s="31"/>
      <c r="C144" s="31" t="s">
        <v>60</v>
      </c>
    </row>
    <row r="145" ht="12.75">
      <c r="G145" s="18">
        <f>IF(ISNONTEXT('Organizacija natjecanja'!H5)=TRUE,"",'Organizacija natjecanja'!H5)</f>
      </c>
    </row>
    <row r="146" ht="12.75">
      <c r="G146" s="19" t="s">
        <v>61</v>
      </c>
    </row>
    <row r="148" spans="4:8" ht="18">
      <c r="D148" s="32"/>
      <c r="E148" s="32" t="s">
        <v>62</v>
      </c>
      <c r="F148" s="32"/>
      <c r="G148" s="32"/>
      <c r="H148" s="32"/>
    </row>
    <row r="150" spans="5:8" ht="15">
      <c r="E150" s="20">
        <f>IF(ISNONTEXT('Organizacija natjecanja'!H2)=TRUE,"",'Organizacija natjecanja'!H2)</f>
      </c>
      <c r="H150" s="21"/>
    </row>
    <row r="151" spans="4:8" ht="12.75">
      <c r="D151" s="7"/>
      <c r="E151" s="19" t="s">
        <v>63</v>
      </c>
      <c r="F151" s="7"/>
      <c r="G151" s="7"/>
      <c r="H151" s="7"/>
    </row>
    <row r="152" ht="12.75">
      <c r="D152" s="33"/>
    </row>
    <row r="153" spans="2:5" ht="15">
      <c r="B153" s="6" t="s">
        <v>51</v>
      </c>
      <c r="E153" s="20">
        <f>IF(ISNONTEXT('Upis rezultata C sektora'!D7)=TRUE,"",'Upis rezultata C sektora'!D7)</f>
      </c>
    </row>
    <row r="154" ht="12.75">
      <c r="E154" s="18"/>
    </row>
    <row r="155" spans="2:5" ht="12.75">
      <c r="B155" s="6" t="s">
        <v>52</v>
      </c>
      <c r="E155" s="18">
        <f>IF(ISNONTEXT('Organizacija natjecanja'!H9)=TRUE,"",'Organizacija natjecanja'!H9)</f>
      </c>
    </row>
    <row r="157" spans="1:9" ht="12.75">
      <c r="A157" s="36"/>
      <c r="B157" s="34" t="s">
        <v>71</v>
      </c>
      <c r="C157" s="34"/>
      <c r="D157" s="35" t="s">
        <v>54</v>
      </c>
      <c r="E157" s="34"/>
      <c r="F157" s="34" t="s">
        <v>64</v>
      </c>
      <c r="G157" s="35" t="s">
        <v>55</v>
      </c>
      <c r="H157" s="34" t="s">
        <v>65</v>
      </c>
      <c r="I157" s="36"/>
    </row>
    <row r="158" spans="2:8" ht="12.75">
      <c r="B158" s="37"/>
      <c r="C158" s="38"/>
      <c r="D158" s="38"/>
      <c r="E158" s="22"/>
      <c r="F158" s="22"/>
      <c r="G158" s="22"/>
      <c r="H158" s="39"/>
    </row>
    <row r="159" spans="2:8" s="68" customFormat="1" ht="15.75">
      <c r="B159" s="89">
        <f>VLOOKUP(D159,'Upis rezultata E sektora'!$E$2:$G$13,3,0)</f>
        <v>5</v>
      </c>
      <c r="C159" s="90"/>
      <c r="D159" s="96">
        <f>IF(ISNONTEXT('Upis rezultata E sektora'!E7)=TRUE,"",'Upis rezultata E sektora'!E7)</f>
      </c>
      <c r="E159" s="91"/>
      <c r="F159" s="92">
        <f>IF(ISNUMBER('Prijava ekipa i izvlačenje br.'!B7)=FALSE,"",'Prijava ekipa i izvlačenje br.'!B7)</f>
      </c>
      <c r="G159" s="97">
        <f>IF((D159)="","","E")</f>
      </c>
      <c r="H159" s="97">
        <f>IF(ISNUMBER('Upis rezultata E sektora'!C7)=FALSE,"",'Upis rezultata E sektora'!C7)</f>
      </c>
    </row>
    <row r="160" spans="2:8" ht="12.75">
      <c r="B160" s="40"/>
      <c r="C160" s="29"/>
      <c r="D160" s="29"/>
      <c r="E160" s="25"/>
      <c r="F160" s="25"/>
      <c r="G160" s="25"/>
      <c r="H160" s="25"/>
    </row>
    <row r="162" spans="1:9" ht="12.75">
      <c r="A162" s="36"/>
      <c r="B162" s="41"/>
      <c r="C162" s="42" t="s">
        <v>66</v>
      </c>
      <c r="D162" s="43"/>
      <c r="E162" s="44" t="s">
        <v>67</v>
      </c>
      <c r="F162" s="43"/>
      <c r="G162" s="44" t="s">
        <v>68</v>
      </c>
      <c r="H162" s="43"/>
      <c r="I162" s="36"/>
    </row>
    <row r="163" spans="2:8" ht="12.75">
      <c r="B163" s="23"/>
      <c r="C163" s="26"/>
      <c r="D163" s="24"/>
      <c r="E163" s="26"/>
      <c r="F163" s="24"/>
      <c r="G163" s="26"/>
      <c r="H163" s="24"/>
    </row>
    <row r="164" spans="2:8" ht="12.75">
      <c r="B164" s="23"/>
      <c r="C164" s="27"/>
      <c r="D164" s="24"/>
      <c r="E164" s="45"/>
      <c r="F164" s="24"/>
      <c r="G164" s="45"/>
      <c r="H164" s="24"/>
    </row>
    <row r="165" spans="2:8" ht="12.75">
      <c r="B165" s="28"/>
      <c r="C165" s="29"/>
      <c r="D165" s="25"/>
      <c r="E165" s="29"/>
      <c r="F165" s="25"/>
      <c r="G165" s="29"/>
      <c r="H165" s="25"/>
    </row>
    <row r="167" spans="2:6" ht="12.75">
      <c r="B167" s="7" t="s">
        <v>69</v>
      </c>
      <c r="C167" s="6">
        <f>IF(ISNONTEXT('Organizacija natjecanja'!H30)=TRUE,"",'Organizacija natjecanja'!H30)</f>
      </c>
      <c r="F167" s="6" t="s">
        <v>70</v>
      </c>
    </row>
    <row r="168" ht="12.75">
      <c r="B168" s="7"/>
    </row>
    <row r="169" ht="12.75">
      <c r="B169" s="7"/>
    </row>
    <row r="170" spans="2:3" ht="15">
      <c r="B170" s="31"/>
      <c r="C170" s="31" t="s">
        <v>60</v>
      </c>
    </row>
    <row r="171" ht="12.75">
      <c r="G171" s="18">
        <f>IF(ISNONTEXT('Organizacija natjecanja'!H5)=TRUE,"",'Organizacija natjecanja'!H5)</f>
      </c>
    </row>
    <row r="172" ht="12.75">
      <c r="G172" s="19" t="s">
        <v>61</v>
      </c>
    </row>
    <row r="174" spans="4:8" ht="18">
      <c r="D174" s="32"/>
      <c r="E174" s="32" t="s">
        <v>62</v>
      </c>
      <c r="F174" s="32"/>
      <c r="G174" s="32"/>
      <c r="H174" s="32"/>
    </row>
    <row r="176" spans="5:8" ht="15">
      <c r="E176" s="20">
        <f>IF(ISNONTEXT('Organizacija natjecanja'!H2)=TRUE,"",'Organizacija natjecanja'!H2)</f>
      </c>
      <c r="H176" s="21"/>
    </row>
    <row r="177" spans="4:8" ht="12.75">
      <c r="D177" s="7"/>
      <c r="E177" s="19" t="s">
        <v>63</v>
      </c>
      <c r="F177" s="7"/>
      <c r="G177" s="7"/>
      <c r="H177" s="7"/>
    </row>
    <row r="178" ht="12.75">
      <c r="D178" s="33"/>
    </row>
    <row r="179" spans="2:5" ht="15">
      <c r="B179" s="6" t="s">
        <v>59</v>
      </c>
      <c r="E179" s="20">
        <f>IF(ISNONTEXT('Upis rezultata C sektora'!D8)=TRUE,"",'Upis rezultata C sektora'!D8)</f>
      </c>
    </row>
    <row r="180" ht="12.75">
      <c r="E180" s="18"/>
    </row>
    <row r="181" spans="2:5" ht="12.75">
      <c r="B181" s="6" t="s">
        <v>52</v>
      </c>
      <c r="E181" s="18">
        <f>IF(ISNONTEXT('Organizacija natjecanja'!H9)=TRUE,"",'Organizacija natjecanja'!H9)</f>
      </c>
    </row>
    <row r="183" spans="1:9" ht="12.75">
      <c r="A183" s="36"/>
      <c r="B183" s="34" t="s">
        <v>53</v>
      </c>
      <c r="C183" s="34"/>
      <c r="D183" s="35" t="s">
        <v>54</v>
      </c>
      <c r="E183" s="34"/>
      <c r="F183" s="34" t="s">
        <v>64</v>
      </c>
      <c r="G183" s="35" t="s">
        <v>55</v>
      </c>
      <c r="H183" s="34" t="s">
        <v>65</v>
      </c>
      <c r="I183" s="36"/>
    </row>
    <row r="184" spans="2:8" ht="12.75">
      <c r="B184" s="37"/>
      <c r="C184" s="38"/>
      <c r="D184" s="38"/>
      <c r="E184" s="22"/>
      <c r="F184" s="22"/>
      <c r="G184" s="22"/>
      <c r="H184" s="39"/>
    </row>
    <row r="185" spans="2:8" s="68" customFormat="1" ht="15.75">
      <c r="B185" s="89">
        <f>VLOOKUP(D185,'Upis rezultata E sektora'!$E$2:$G$13,3,0)</f>
        <v>5</v>
      </c>
      <c r="C185" s="90"/>
      <c r="D185" s="96">
        <f>IF(ISNONTEXT('Upis rezultata E sektora'!E8)=TRUE,"",'Upis rezultata E sektora'!E8)</f>
      </c>
      <c r="E185" s="91"/>
      <c r="F185" s="92">
        <f>IF(ISNUMBER('Prijava ekipa i izvlačenje br.'!B8)=FALSE,"",'Prijava ekipa i izvlačenje br.'!B8)</f>
      </c>
      <c r="G185" s="97">
        <f>IF((D185)="","","E")</f>
      </c>
      <c r="H185" s="97">
        <f>IF(ISNUMBER('Upis rezultata E sektora'!C8)=FALSE,"",'Upis rezultata E sektora'!C8)</f>
      </c>
    </row>
    <row r="186" spans="2:8" ht="12.75">
      <c r="B186" s="40"/>
      <c r="C186" s="29"/>
      <c r="D186" s="29"/>
      <c r="E186" s="25"/>
      <c r="F186" s="25"/>
      <c r="G186" s="25"/>
      <c r="H186" s="25"/>
    </row>
    <row r="188" spans="1:9" ht="12.75">
      <c r="A188" s="36"/>
      <c r="B188" s="41"/>
      <c r="C188" s="42" t="s">
        <v>66</v>
      </c>
      <c r="D188" s="43"/>
      <c r="E188" s="44" t="s">
        <v>67</v>
      </c>
      <c r="F188" s="43"/>
      <c r="G188" s="44" t="s">
        <v>68</v>
      </c>
      <c r="H188" s="43"/>
      <c r="I188" s="36"/>
    </row>
    <row r="189" spans="2:8" ht="12.75">
      <c r="B189" s="23"/>
      <c r="C189" s="26"/>
      <c r="D189" s="24"/>
      <c r="E189" s="26"/>
      <c r="F189" s="24"/>
      <c r="G189" s="26"/>
      <c r="H189" s="24"/>
    </row>
    <row r="190" spans="2:8" ht="12.75">
      <c r="B190" s="23"/>
      <c r="C190" s="27"/>
      <c r="D190" s="24"/>
      <c r="E190" s="45"/>
      <c r="F190" s="24"/>
      <c r="G190" s="45"/>
      <c r="H190" s="24"/>
    </row>
    <row r="191" spans="2:8" ht="12.75">
      <c r="B191" s="28"/>
      <c r="C191" s="29"/>
      <c r="D191" s="25"/>
      <c r="E191" s="29"/>
      <c r="F191" s="25"/>
      <c r="G191" s="29"/>
      <c r="H191" s="25"/>
    </row>
    <row r="193" spans="2:6" ht="12.75">
      <c r="B193" s="7" t="s">
        <v>69</v>
      </c>
      <c r="C193" s="6">
        <f>IF(ISNONTEXT('Organizacija natjecanja'!H30)=TRUE,"",'Organizacija natjecanja'!H30)</f>
      </c>
      <c r="F193" s="6" t="s">
        <v>70</v>
      </c>
    </row>
    <row r="194" ht="12.75">
      <c r="B194" s="7"/>
    </row>
    <row r="195" ht="12.75">
      <c r="B195" s="7"/>
    </row>
    <row r="196" ht="12.75">
      <c r="B196" s="7"/>
    </row>
    <row r="197" ht="12.75">
      <c r="B197" s="7"/>
    </row>
    <row r="198" spans="1:9" ht="12.75">
      <c r="A198" s="30"/>
      <c r="B198" s="46"/>
      <c r="C198" s="30"/>
      <c r="D198" s="30"/>
      <c r="E198" s="30"/>
      <c r="F198" s="30"/>
      <c r="G198" s="30"/>
      <c r="H198" s="30"/>
      <c r="I198" s="30"/>
    </row>
    <row r="200" spans="2:3" ht="15">
      <c r="B200" s="31"/>
      <c r="C200" s="31" t="s">
        <v>60</v>
      </c>
    </row>
    <row r="201" ht="12.75">
      <c r="G201" s="18">
        <f>IF(ISNONTEXT('Organizacija natjecanja'!H5)=TRUE,"",'Organizacija natjecanja'!H5)</f>
      </c>
    </row>
    <row r="202" ht="12.75">
      <c r="G202" s="19" t="s">
        <v>61</v>
      </c>
    </row>
    <row r="204" spans="4:8" ht="18">
      <c r="D204" s="32"/>
      <c r="E204" s="32" t="s">
        <v>62</v>
      </c>
      <c r="F204" s="32"/>
      <c r="G204" s="32"/>
      <c r="H204" s="32"/>
    </row>
    <row r="206" spans="5:8" ht="15">
      <c r="E206" s="20">
        <f>IF(ISNONTEXT('Organizacija natjecanja'!H2)=TRUE,"",'Organizacija natjecanja'!H2)</f>
      </c>
      <c r="H206" s="21"/>
    </row>
    <row r="207" spans="4:8" ht="12.75">
      <c r="D207" s="7"/>
      <c r="E207" s="19" t="s">
        <v>63</v>
      </c>
      <c r="F207" s="7"/>
      <c r="G207" s="7"/>
      <c r="H207" s="7"/>
    </row>
    <row r="208" ht="12.75">
      <c r="D208" s="33"/>
    </row>
    <row r="209" spans="2:5" ht="15">
      <c r="B209" s="6" t="s">
        <v>51</v>
      </c>
      <c r="E209" s="20">
        <f>IF(ISNONTEXT('Upis rezultata C sektora'!D9)=TRUE,"",'Upis rezultata C sektora'!D9)</f>
      </c>
    </row>
    <row r="210" ht="12.75">
      <c r="E210" s="18"/>
    </row>
    <row r="211" spans="2:5" ht="12.75">
      <c r="B211" s="6" t="s">
        <v>52</v>
      </c>
      <c r="E211" s="18">
        <f>IF(ISNONTEXT('Organizacija natjecanja'!H9)=TRUE,"",'Organizacija natjecanja'!H9)</f>
      </c>
    </row>
    <row r="213" spans="1:9" ht="12.75">
      <c r="A213" s="36"/>
      <c r="B213" s="34" t="s">
        <v>71</v>
      </c>
      <c r="C213" s="34"/>
      <c r="D213" s="35" t="s">
        <v>54</v>
      </c>
      <c r="E213" s="34"/>
      <c r="F213" s="34" t="s">
        <v>64</v>
      </c>
      <c r="G213" s="35" t="s">
        <v>55</v>
      </c>
      <c r="H213" s="34" t="s">
        <v>65</v>
      </c>
      <c r="I213" s="36"/>
    </row>
    <row r="214" spans="2:8" ht="12.75">
      <c r="B214" s="37"/>
      <c r="C214" s="38"/>
      <c r="D214" s="38"/>
      <c r="E214" s="22"/>
      <c r="F214" s="22"/>
      <c r="G214" s="22"/>
      <c r="H214" s="39"/>
    </row>
    <row r="215" spans="2:8" s="68" customFormat="1" ht="15.75">
      <c r="B215" s="89">
        <f>VLOOKUP(D215,'Upis rezultata E sektora'!$E$2:$G$13,3,0)</f>
        <v>5</v>
      </c>
      <c r="C215" s="90"/>
      <c r="D215" s="96">
        <f>IF(ISNONTEXT('Upis rezultata E sektora'!E9)=TRUE,"",'Upis rezultata E sektora'!E9)</f>
      </c>
      <c r="E215" s="91"/>
      <c r="F215" s="92">
        <f>IF(ISNUMBER('Prijava ekipa i izvlačenje br.'!B9)=FALSE,"",'Prijava ekipa i izvlačenje br.'!B9)</f>
      </c>
      <c r="G215" s="97">
        <f>IF((D215)="","","E")</f>
      </c>
      <c r="H215" s="97">
        <f>IF(ISNUMBER('Upis rezultata E sektora'!C9)=FALSE,"",'Upis rezultata E sektora'!C9)</f>
      </c>
    </row>
    <row r="216" spans="2:8" ht="12.75">
      <c r="B216" s="40"/>
      <c r="C216" s="29"/>
      <c r="D216" s="29"/>
      <c r="E216" s="25"/>
      <c r="F216" s="25"/>
      <c r="G216" s="25"/>
      <c r="H216" s="25"/>
    </row>
    <row r="218" spans="1:9" ht="12.75">
      <c r="A218" s="36"/>
      <c r="B218" s="41"/>
      <c r="C218" s="42" t="s">
        <v>66</v>
      </c>
      <c r="D218" s="43"/>
      <c r="E218" s="44" t="s">
        <v>67</v>
      </c>
      <c r="F218" s="43"/>
      <c r="G218" s="44" t="s">
        <v>68</v>
      </c>
      <c r="H218" s="43"/>
      <c r="I218" s="36"/>
    </row>
    <row r="219" spans="2:8" ht="12.75">
      <c r="B219" s="23"/>
      <c r="C219" s="26"/>
      <c r="D219" s="24"/>
      <c r="E219" s="26"/>
      <c r="F219" s="24"/>
      <c r="G219" s="26"/>
      <c r="H219" s="24"/>
    </row>
    <row r="220" spans="2:8" ht="12.75">
      <c r="B220" s="23"/>
      <c r="C220" s="27"/>
      <c r="D220" s="24"/>
      <c r="E220" s="45"/>
      <c r="F220" s="24"/>
      <c r="G220" s="45"/>
      <c r="H220" s="24"/>
    </row>
    <row r="221" spans="2:8" ht="12.75">
      <c r="B221" s="28"/>
      <c r="C221" s="29"/>
      <c r="D221" s="25"/>
      <c r="E221" s="29"/>
      <c r="F221" s="25"/>
      <c r="G221" s="29"/>
      <c r="H221" s="25"/>
    </row>
    <row r="223" spans="2:6" ht="12.75">
      <c r="B223" s="7" t="s">
        <v>69</v>
      </c>
      <c r="C223" s="6">
        <f>IF(ISNONTEXT('Organizacija natjecanja'!H30)=TRUE,"",'Organizacija natjecanja'!H30)</f>
      </c>
      <c r="F223" s="6" t="s">
        <v>70</v>
      </c>
    </row>
    <row r="224" ht="12.75">
      <c r="B224" s="7"/>
    </row>
    <row r="225" ht="12.75">
      <c r="B225" s="7"/>
    </row>
    <row r="226" spans="2:3" ht="15">
      <c r="B226" s="31"/>
      <c r="C226" s="31" t="s">
        <v>60</v>
      </c>
    </row>
    <row r="227" ht="12.75">
      <c r="G227" s="18">
        <f>IF(ISNONTEXT('Organizacija natjecanja'!H5)=TRUE,"",'Organizacija natjecanja'!H5)</f>
      </c>
    </row>
    <row r="228" ht="12.75">
      <c r="G228" s="19" t="s">
        <v>61</v>
      </c>
    </row>
    <row r="230" spans="4:8" ht="18">
      <c r="D230" s="32"/>
      <c r="E230" s="32" t="s">
        <v>62</v>
      </c>
      <c r="F230" s="32"/>
      <c r="G230" s="32"/>
      <c r="H230" s="32"/>
    </row>
    <row r="232" spans="5:8" ht="15">
      <c r="E232" s="20">
        <f>IF(ISNONTEXT('Organizacija natjecanja'!H2)=TRUE,"",'Organizacija natjecanja'!H2)</f>
      </c>
      <c r="H232" s="21"/>
    </row>
    <row r="233" spans="4:8" ht="12.75">
      <c r="D233" s="7"/>
      <c r="E233" s="19" t="s">
        <v>63</v>
      </c>
      <c r="F233" s="7"/>
      <c r="G233" s="7"/>
      <c r="H233" s="7"/>
    </row>
    <row r="234" ht="12.75">
      <c r="D234" s="33"/>
    </row>
    <row r="235" spans="2:5" ht="15">
      <c r="B235" s="6" t="s">
        <v>59</v>
      </c>
      <c r="E235" s="20">
        <f>IF(ISNONTEXT('Upis rezultata C sektora'!D10)=TRUE,"",'Upis rezultata C sektora'!D10)</f>
      </c>
    </row>
    <row r="236" ht="12.75">
      <c r="E236" s="18"/>
    </row>
    <row r="237" spans="2:5" ht="12.75">
      <c r="B237" s="6" t="s">
        <v>52</v>
      </c>
      <c r="E237" s="18">
        <f>IF(ISNONTEXT('Organizacija natjecanja'!H9)=TRUE,"",'Organizacija natjecanja'!H9)</f>
      </c>
    </row>
    <row r="239" spans="1:9" ht="12.75">
      <c r="A239" s="36"/>
      <c r="B239" s="34" t="s">
        <v>53</v>
      </c>
      <c r="C239" s="34"/>
      <c r="D239" s="35" t="s">
        <v>54</v>
      </c>
      <c r="E239" s="34"/>
      <c r="F239" s="34" t="s">
        <v>64</v>
      </c>
      <c r="G239" s="35" t="s">
        <v>55</v>
      </c>
      <c r="H239" s="34" t="s">
        <v>65</v>
      </c>
      <c r="I239" s="36"/>
    </row>
    <row r="240" spans="2:8" ht="12.75">
      <c r="B240" s="37"/>
      <c r="C240" s="38"/>
      <c r="D240" s="38"/>
      <c r="E240" s="22"/>
      <c r="F240" s="22"/>
      <c r="G240" s="22"/>
      <c r="H240" s="39"/>
    </row>
    <row r="241" spans="2:8" s="68" customFormat="1" ht="15.75">
      <c r="B241" s="89">
        <f>VLOOKUP(D241,'Upis rezultata E sektora'!$E$2:$G$13,3,0)</f>
        <v>5</v>
      </c>
      <c r="C241" s="90"/>
      <c r="D241" s="96">
        <f>IF(ISNONTEXT('Upis rezultata E sektora'!E10)=TRUE,"",'Upis rezultata E sektora'!E10)</f>
      </c>
      <c r="E241" s="91"/>
      <c r="F241" s="92">
        <f>IF(ISNUMBER('Prijava ekipa i izvlačenje br.'!B10)=FALSE,"",'Prijava ekipa i izvlačenje br.'!B10)</f>
      </c>
      <c r="G241" s="97">
        <f>IF((D241)="","","E")</f>
      </c>
      <c r="H241" s="97">
        <f>IF(ISNUMBER('Upis rezultata E sektora'!C10)=FALSE,"",'Upis rezultata E sektora'!C10)</f>
      </c>
    </row>
    <row r="242" spans="2:8" ht="12.75">
      <c r="B242" s="40"/>
      <c r="C242" s="29"/>
      <c r="D242" s="29"/>
      <c r="E242" s="25"/>
      <c r="F242" s="25"/>
      <c r="G242" s="25"/>
      <c r="H242" s="25"/>
    </row>
    <row r="244" spans="1:9" ht="12.75">
      <c r="A244" s="36"/>
      <c r="B244" s="41"/>
      <c r="C244" s="42" t="s">
        <v>66</v>
      </c>
      <c r="D244" s="43"/>
      <c r="E244" s="44" t="s">
        <v>67</v>
      </c>
      <c r="F244" s="43"/>
      <c r="G244" s="44" t="s">
        <v>68</v>
      </c>
      <c r="H244" s="43"/>
      <c r="I244" s="36"/>
    </row>
    <row r="245" spans="2:8" ht="12.75">
      <c r="B245" s="23"/>
      <c r="C245" s="26"/>
      <c r="D245" s="24"/>
      <c r="E245" s="26"/>
      <c r="F245" s="24"/>
      <c r="G245" s="26"/>
      <c r="H245" s="24"/>
    </row>
    <row r="246" spans="2:8" ht="12.75">
      <c r="B246" s="23"/>
      <c r="C246" s="27"/>
      <c r="D246" s="24"/>
      <c r="E246" s="45"/>
      <c r="F246" s="24"/>
      <c r="G246" s="45"/>
      <c r="H246" s="24"/>
    </row>
    <row r="247" spans="2:8" ht="12.75">
      <c r="B247" s="28"/>
      <c r="C247" s="29"/>
      <c r="D247" s="25"/>
      <c r="E247" s="29"/>
      <c r="F247" s="25"/>
      <c r="G247" s="29"/>
      <c r="H247" s="25"/>
    </row>
    <row r="249" spans="2:6" ht="12.75">
      <c r="B249" s="7" t="s">
        <v>69</v>
      </c>
      <c r="C249" s="6">
        <f>IF(ISNONTEXT('Organizacija natjecanja'!H30)=TRUE,"",'Organizacija natjecanja'!H30)</f>
      </c>
      <c r="F249" s="6" t="s">
        <v>70</v>
      </c>
    </row>
    <row r="250" ht="12.75">
      <c r="B250" s="7"/>
    </row>
    <row r="251" ht="12.75">
      <c r="B251" s="7"/>
    </row>
    <row r="252" ht="12.75">
      <c r="B252" s="7"/>
    </row>
    <row r="253" ht="12.75">
      <c r="B253" s="7"/>
    </row>
    <row r="254" ht="12.75">
      <c r="B254" s="7"/>
    </row>
    <row r="255" spans="1:9" ht="12.75">
      <c r="A255" s="30"/>
      <c r="B255" s="46"/>
      <c r="C255" s="30"/>
      <c r="D255" s="30"/>
      <c r="E255" s="30"/>
      <c r="F255" s="30"/>
      <c r="G255" s="30"/>
      <c r="H255" s="30"/>
      <c r="I255" s="30"/>
    </row>
    <row r="256" spans="2:3" ht="15">
      <c r="B256" s="31"/>
      <c r="C256" s="31" t="s">
        <v>60</v>
      </c>
    </row>
    <row r="257" ht="12.75">
      <c r="G257" s="18">
        <f>IF(ISNONTEXT('Organizacija natjecanja'!H5)=TRUE,"",'Organizacija natjecanja'!H5)</f>
      </c>
    </row>
    <row r="258" ht="12.75">
      <c r="G258" s="19" t="s">
        <v>61</v>
      </c>
    </row>
    <row r="260" spans="4:8" ht="18">
      <c r="D260" s="32"/>
      <c r="E260" s="32" t="s">
        <v>62</v>
      </c>
      <c r="F260" s="32"/>
      <c r="G260" s="32"/>
      <c r="H260" s="32"/>
    </row>
    <row r="262" spans="5:8" ht="15">
      <c r="E262" s="20">
        <f>IF(ISNONTEXT('Organizacija natjecanja'!H2)=TRUE,"",'Organizacija natjecanja'!H2)</f>
      </c>
      <c r="H262" s="21"/>
    </row>
    <row r="263" spans="4:8" ht="12.75">
      <c r="D263" s="7"/>
      <c r="E263" s="19" t="s">
        <v>63</v>
      </c>
      <c r="F263" s="7"/>
      <c r="G263" s="7"/>
      <c r="H263" s="7"/>
    </row>
    <row r="264" ht="12.75">
      <c r="D264" s="33"/>
    </row>
    <row r="265" spans="2:5" ht="15">
      <c r="B265" s="6" t="s">
        <v>51</v>
      </c>
      <c r="E265" s="20">
        <f>IF(ISNONTEXT('Upis rezultata C sektora'!D11)=TRUE,"",'Upis rezultata C sektora'!D11)</f>
      </c>
    </row>
    <row r="266" ht="12.75">
      <c r="E266" s="18"/>
    </row>
    <row r="267" spans="2:5" ht="12.75">
      <c r="B267" s="6" t="s">
        <v>52</v>
      </c>
      <c r="E267" s="18">
        <f>IF(ISNONTEXT('Organizacija natjecanja'!H9)=TRUE,"",'Organizacija natjecanja'!H9)</f>
      </c>
    </row>
    <row r="269" spans="1:9" ht="12.75">
      <c r="A269" s="36"/>
      <c r="B269" s="34" t="s">
        <v>71</v>
      </c>
      <c r="C269" s="34"/>
      <c r="D269" s="35" t="s">
        <v>54</v>
      </c>
      <c r="E269" s="34"/>
      <c r="F269" s="34" t="s">
        <v>64</v>
      </c>
      <c r="G269" s="35" t="s">
        <v>55</v>
      </c>
      <c r="H269" s="34" t="s">
        <v>65</v>
      </c>
      <c r="I269" s="36"/>
    </row>
    <row r="270" spans="2:8" ht="12.75">
      <c r="B270" s="37"/>
      <c r="C270" s="38"/>
      <c r="D270" s="38"/>
      <c r="E270" s="22"/>
      <c r="F270" s="22"/>
      <c r="G270" s="22"/>
      <c r="H270" s="39"/>
    </row>
    <row r="271" spans="2:8" s="68" customFormat="1" ht="15.75">
      <c r="B271" s="89">
        <f>VLOOKUP(D271,'Upis rezultata E sektora'!$E$2:$G$13,3,0)</f>
        <v>5</v>
      </c>
      <c r="C271" s="90"/>
      <c r="D271" s="96">
        <f>IF(ISNONTEXT('Upis rezultata E sektora'!E11)=TRUE,"",'Upis rezultata E sektora'!E11)</f>
      </c>
      <c r="E271" s="91"/>
      <c r="F271" s="92">
        <f>IF(ISNUMBER('Prijava ekipa i izvlačenje br.'!B11)=FALSE,"",'Prijava ekipa i izvlačenje br.'!B11)</f>
      </c>
      <c r="G271" s="97">
        <f>IF((D271)="","","E")</f>
      </c>
      <c r="H271" s="97">
        <f>IF(ISNUMBER('Upis rezultata E sektora'!C11)=FALSE,"",'Upis rezultata E sektora'!C11)</f>
      </c>
    </row>
    <row r="272" spans="2:8" ht="12.75">
      <c r="B272" s="40"/>
      <c r="C272" s="29"/>
      <c r="D272" s="29"/>
      <c r="E272" s="25"/>
      <c r="F272" s="25"/>
      <c r="G272" s="25"/>
      <c r="H272" s="25"/>
    </row>
    <row r="274" spans="1:9" ht="12.75">
      <c r="A274" s="36"/>
      <c r="B274" s="41"/>
      <c r="C274" s="42" t="s">
        <v>66</v>
      </c>
      <c r="D274" s="43"/>
      <c r="E274" s="44" t="s">
        <v>67</v>
      </c>
      <c r="F274" s="43"/>
      <c r="G274" s="44" t="s">
        <v>68</v>
      </c>
      <c r="H274" s="43"/>
      <c r="I274" s="36"/>
    </row>
    <row r="275" spans="2:8" ht="12.75">
      <c r="B275" s="23"/>
      <c r="C275" s="26"/>
      <c r="D275" s="24"/>
      <c r="E275" s="26"/>
      <c r="F275" s="24"/>
      <c r="G275" s="26"/>
      <c r="H275" s="24"/>
    </row>
    <row r="276" spans="2:8" ht="12.75">
      <c r="B276" s="23"/>
      <c r="C276" s="27"/>
      <c r="D276" s="24"/>
      <c r="E276" s="45"/>
      <c r="F276" s="24"/>
      <c r="G276" s="45"/>
      <c r="H276" s="24"/>
    </row>
    <row r="277" spans="2:8" ht="12.75">
      <c r="B277" s="28"/>
      <c r="C277" s="29"/>
      <c r="D277" s="25"/>
      <c r="E277" s="29"/>
      <c r="F277" s="25"/>
      <c r="G277" s="29"/>
      <c r="H277" s="25"/>
    </row>
    <row r="279" spans="2:6" ht="12.75">
      <c r="B279" s="7" t="s">
        <v>69</v>
      </c>
      <c r="C279" s="6">
        <f>IF(ISNONTEXT('Organizacija natjecanja'!H30)=TRUE,"",'Organizacija natjecanja'!H30)</f>
      </c>
      <c r="F279" s="6" t="s">
        <v>70</v>
      </c>
    </row>
    <row r="280" ht="12.75">
      <c r="B280" s="7"/>
    </row>
    <row r="281" ht="12.75">
      <c r="B281" s="7"/>
    </row>
    <row r="282" spans="2:3" ht="15">
      <c r="B282" s="31"/>
      <c r="C282" s="31" t="s">
        <v>60</v>
      </c>
    </row>
    <row r="283" ht="12.75">
      <c r="G283" s="18">
        <f>IF(ISNONTEXT('Organizacija natjecanja'!H5)=TRUE,"",'Organizacija natjecanja'!H5)</f>
      </c>
    </row>
    <row r="284" ht="12.75">
      <c r="G284" s="19" t="s">
        <v>61</v>
      </c>
    </row>
    <row r="286" spans="4:8" ht="18">
      <c r="D286" s="32"/>
      <c r="E286" s="32" t="s">
        <v>62</v>
      </c>
      <c r="F286" s="32"/>
      <c r="G286" s="32"/>
      <c r="H286" s="32"/>
    </row>
    <row r="288" spans="5:8" ht="15">
      <c r="E288" s="20">
        <f>IF(ISNONTEXT('Organizacija natjecanja'!H2)=TRUE,"",'Organizacija natjecanja'!H2)</f>
      </c>
      <c r="H288" s="21"/>
    </row>
    <row r="289" spans="4:8" ht="12.75">
      <c r="D289" s="7"/>
      <c r="E289" s="19" t="s">
        <v>63</v>
      </c>
      <c r="F289" s="7"/>
      <c r="G289" s="7"/>
      <c r="H289" s="7"/>
    </row>
    <row r="290" ht="12.75">
      <c r="D290" s="33"/>
    </row>
    <row r="291" spans="2:5" ht="15">
      <c r="B291" s="6" t="s">
        <v>59</v>
      </c>
      <c r="E291" s="20">
        <f>IF(ISNONTEXT('Upis rezultata C sektora'!D12)=TRUE,"",'Upis rezultata C sektora'!D12)</f>
      </c>
    </row>
    <row r="292" ht="12.75">
      <c r="E292" s="18"/>
    </row>
    <row r="293" spans="2:5" ht="12.75">
      <c r="B293" s="6" t="s">
        <v>52</v>
      </c>
      <c r="E293" s="18">
        <f>IF(ISNONTEXT('Organizacija natjecanja'!H9)=TRUE,"",'Organizacija natjecanja'!H9)</f>
      </c>
    </row>
    <row r="295" spans="1:9" ht="12.75">
      <c r="A295" s="36"/>
      <c r="B295" s="34" t="s">
        <v>53</v>
      </c>
      <c r="C295" s="34"/>
      <c r="D295" s="35" t="s">
        <v>54</v>
      </c>
      <c r="E295" s="34"/>
      <c r="F295" s="34" t="s">
        <v>64</v>
      </c>
      <c r="G295" s="35" t="s">
        <v>55</v>
      </c>
      <c r="H295" s="34" t="s">
        <v>65</v>
      </c>
      <c r="I295" s="36"/>
    </row>
    <row r="296" spans="2:8" ht="12.75">
      <c r="B296" s="37"/>
      <c r="C296" s="38"/>
      <c r="D296" s="38"/>
      <c r="E296" s="22"/>
      <c r="F296" s="22"/>
      <c r="G296" s="22"/>
      <c r="H296" s="39"/>
    </row>
    <row r="297" spans="2:8" s="68" customFormat="1" ht="15.75">
      <c r="B297" s="89">
        <f>VLOOKUP(D297,'Upis rezultata E sektora'!$E$2:$G$13,3,0)</f>
        <v>5</v>
      </c>
      <c r="C297" s="90"/>
      <c r="D297" s="96">
        <f>IF(ISNONTEXT('Upis rezultata E sektora'!E12)=TRUE,"",'Upis rezultata E sektora'!E12)</f>
      </c>
      <c r="E297" s="91"/>
      <c r="F297" s="92">
        <f>IF(ISNUMBER('Prijava ekipa i izvlačenje br.'!B12)=FALSE,"",'Prijava ekipa i izvlačenje br.'!B12)</f>
      </c>
      <c r="G297" s="97">
        <f>IF((D297)="","","E")</f>
      </c>
      <c r="H297" s="97">
        <f>IF(ISNUMBER('Upis rezultata E sektora'!C12)=FALSE,"",'Upis rezultata E sektora'!C12)</f>
      </c>
    </row>
    <row r="298" spans="2:8" ht="12.75">
      <c r="B298" s="40"/>
      <c r="C298" s="29"/>
      <c r="D298" s="29"/>
      <c r="E298" s="25"/>
      <c r="F298" s="25"/>
      <c r="G298" s="25"/>
      <c r="H298" s="25"/>
    </row>
    <row r="300" spans="1:9" ht="12.75">
      <c r="A300" s="36"/>
      <c r="B300" s="41"/>
      <c r="C300" s="42" t="s">
        <v>66</v>
      </c>
      <c r="D300" s="43"/>
      <c r="E300" s="44" t="s">
        <v>67</v>
      </c>
      <c r="F300" s="43"/>
      <c r="G300" s="44" t="s">
        <v>68</v>
      </c>
      <c r="H300" s="43"/>
      <c r="I300" s="36"/>
    </row>
    <row r="301" spans="2:8" ht="12.75">
      <c r="B301" s="23"/>
      <c r="C301" s="26"/>
      <c r="D301" s="24"/>
      <c r="E301" s="26"/>
      <c r="F301" s="24"/>
      <c r="G301" s="26"/>
      <c r="H301" s="24"/>
    </row>
    <row r="302" spans="2:8" ht="12.75">
      <c r="B302" s="23"/>
      <c r="C302" s="27"/>
      <c r="D302" s="24"/>
      <c r="E302" s="45"/>
      <c r="F302" s="24"/>
      <c r="G302" s="45"/>
      <c r="H302" s="24"/>
    </row>
    <row r="303" spans="2:8" ht="12.75">
      <c r="B303" s="28"/>
      <c r="C303" s="29"/>
      <c r="D303" s="25"/>
      <c r="E303" s="29"/>
      <c r="F303" s="25"/>
      <c r="G303" s="29"/>
      <c r="H303" s="25"/>
    </row>
    <row r="305" spans="2:6" ht="12.75">
      <c r="B305" s="7" t="s">
        <v>69</v>
      </c>
      <c r="C305" s="6">
        <f>IF(ISNONTEXT('Organizacija natjecanja'!H30)=TRUE,"",'Organizacija natjecanja'!H30)</f>
      </c>
      <c r="F305" s="6" t="s">
        <v>70</v>
      </c>
    </row>
    <row r="306" ht="12.75">
      <c r="B306" s="7"/>
    </row>
    <row r="307" ht="12.75">
      <c r="B307" s="7"/>
    </row>
    <row r="308" ht="12.75">
      <c r="B308" s="7"/>
    </row>
    <row r="309" ht="12.75">
      <c r="B309" s="7"/>
    </row>
    <row r="310" spans="1:9" ht="12.75">
      <c r="A310" s="30"/>
      <c r="B310" s="46"/>
      <c r="C310" s="30"/>
      <c r="D310" s="30"/>
      <c r="E310" s="30"/>
      <c r="F310" s="30"/>
      <c r="G310" s="30"/>
      <c r="H310" s="30"/>
      <c r="I310" s="30"/>
    </row>
    <row r="312" spans="2:3" ht="15">
      <c r="B312" s="31"/>
      <c r="C312" s="31" t="s">
        <v>60</v>
      </c>
    </row>
    <row r="313" ht="12.75">
      <c r="G313" s="18">
        <f>IF(ISNONTEXT('Organizacija natjecanja'!H5)=TRUE,"",'Organizacija natjecanja'!H5)</f>
      </c>
    </row>
    <row r="314" ht="12.75">
      <c r="G314" s="19" t="s">
        <v>61</v>
      </c>
    </row>
    <row r="316" spans="4:8" ht="18">
      <c r="D316" s="32"/>
      <c r="E316" s="32" t="s">
        <v>62</v>
      </c>
      <c r="F316" s="32"/>
      <c r="G316" s="32"/>
      <c r="H316" s="32"/>
    </row>
    <row r="318" spans="5:8" ht="15">
      <c r="E318" s="20">
        <f>IF(ISNONTEXT('Organizacija natjecanja'!H2)=TRUE,"",'Organizacija natjecanja'!H2)</f>
      </c>
      <c r="H318" s="21"/>
    </row>
    <row r="319" spans="4:8" ht="12.75">
      <c r="D319" s="7"/>
      <c r="E319" s="19" t="s">
        <v>63</v>
      </c>
      <c r="F319" s="7"/>
      <c r="G319" s="7"/>
      <c r="H319" s="7"/>
    </row>
    <row r="320" ht="12.75">
      <c r="D320" s="33"/>
    </row>
    <row r="321" spans="2:5" ht="15">
      <c r="B321" s="6" t="s">
        <v>51</v>
      </c>
      <c r="E321" s="20">
        <f>IF(ISNONTEXT('Upis rezultata C sektora'!D13)=TRUE,"",'Upis rezultata C sektora'!D13)</f>
      </c>
    </row>
    <row r="322" ht="12.75">
      <c r="E322" s="18"/>
    </row>
    <row r="323" spans="2:5" ht="12.75">
      <c r="B323" s="6" t="s">
        <v>52</v>
      </c>
      <c r="E323" s="18">
        <f>IF(ISNONTEXT('Organizacija natjecanja'!H9)=TRUE,"",'Organizacija natjecanja'!H9)</f>
      </c>
    </row>
    <row r="325" spans="1:9" ht="12.75">
      <c r="A325" s="36"/>
      <c r="B325" s="34" t="s">
        <v>71</v>
      </c>
      <c r="C325" s="34"/>
      <c r="D325" s="35" t="s">
        <v>54</v>
      </c>
      <c r="E325" s="34"/>
      <c r="F325" s="34" t="s">
        <v>64</v>
      </c>
      <c r="G325" s="35" t="s">
        <v>55</v>
      </c>
      <c r="H325" s="34" t="s">
        <v>65</v>
      </c>
      <c r="I325" s="36"/>
    </row>
    <row r="326" spans="2:8" ht="12.75">
      <c r="B326" s="37"/>
      <c r="C326" s="38"/>
      <c r="D326" s="38"/>
      <c r="E326" s="22"/>
      <c r="F326" s="22"/>
      <c r="G326" s="22"/>
      <c r="H326" s="39"/>
    </row>
    <row r="327" spans="2:8" s="68" customFormat="1" ht="15.75">
      <c r="B327" s="89">
        <f>VLOOKUP(D327,'Upis rezultata E sektora'!$E$2:$G$13,3,0)</f>
        <v>5</v>
      </c>
      <c r="C327" s="90"/>
      <c r="D327" s="96">
        <f>IF(ISNONTEXT('Upis rezultata E sektora'!E13)=TRUE,"",'Upis rezultata E sektora'!E13)</f>
      </c>
      <c r="E327" s="91"/>
      <c r="F327" s="92">
        <f>IF(ISNUMBER('Prijava ekipa i izvlačenje br.'!B13)=FALSE,"",'Prijava ekipa i izvlačenje br.'!B13)</f>
      </c>
      <c r="G327" s="97">
        <f>IF((D327)="","","E")</f>
      </c>
      <c r="H327" s="97">
        <f>IF(ISNUMBER('Upis rezultata E sektora'!C13)=FALSE,"",'Upis rezultata E sektora'!C13)</f>
      </c>
    </row>
    <row r="328" spans="2:8" ht="12.75">
      <c r="B328" s="40"/>
      <c r="C328" s="29"/>
      <c r="D328" s="29"/>
      <c r="E328" s="25"/>
      <c r="F328" s="25"/>
      <c r="G328" s="25"/>
      <c r="H328" s="25"/>
    </row>
    <row r="330" spans="1:9" ht="12.75">
      <c r="A330" s="36"/>
      <c r="B330" s="41"/>
      <c r="C330" s="42" t="s">
        <v>66</v>
      </c>
      <c r="D330" s="43"/>
      <c r="E330" s="44" t="s">
        <v>67</v>
      </c>
      <c r="F330" s="43"/>
      <c r="G330" s="44" t="s">
        <v>68</v>
      </c>
      <c r="H330" s="43"/>
      <c r="I330" s="36"/>
    </row>
    <row r="331" spans="2:8" ht="12.75">
      <c r="B331" s="23"/>
      <c r="C331" s="26"/>
      <c r="D331" s="24"/>
      <c r="E331" s="26"/>
      <c r="F331" s="24"/>
      <c r="G331" s="26"/>
      <c r="H331" s="24"/>
    </row>
    <row r="332" spans="2:8" ht="12.75">
      <c r="B332" s="23"/>
      <c r="C332" s="27"/>
      <c r="D332" s="24"/>
      <c r="E332" s="45"/>
      <c r="F332" s="24"/>
      <c r="G332" s="45"/>
      <c r="H332" s="24"/>
    </row>
    <row r="333" spans="2:8" ht="12.75">
      <c r="B333" s="28"/>
      <c r="C333" s="29"/>
      <c r="D333" s="25"/>
      <c r="E333" s="29"/>
      <c r="F333" s="25"/>
      <c r="G333" s="29"/>
      <c r="H333" s="25"/>
    </row>
    <row r="335" spans="2:6" ht="12.75">
      <c r="B335" s="7" t="s">
        <v>69</v>
      </c>
      <c r="C335" s="6">
        <f>IF(ISNONTEXT('Organizacija natjecanja'!H30)=TRUE,"",'Organizacija natjecanja'!H30)</f>
      </c>
      <c r="F335" s="6" t="s">
        <v>70</v>
      </c>
    </row>
    <row r="336" ht="12.75">
      <c r="B336" s="7"/>
    </row>
  </sheetData>
  <sheetProtection password="C7E2" sheet="1" objects="1" scenarios="1"/>
  <printOptions/>
  <pageMargins left="0.7480314960629921" right="0.7480314960629921" top="0.77" bottom="0.79" header="0.62" footer="0.35433070866141736"/>
  <pageSetup horizontalDpi="300" verticalDpi="300" orientation="portrait" paperSize="9" r:id="rId3"/>
  <headerFooter alignWithMargins="0">
    <oddFooter>&amp;C&amp;"Arial,Kurziv"&amp;12&amp;YProgram za izračun rezultata i provođenje natjecanja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Mladen Čačić</dc:creator>
  <cp:keywords/>
  <dc:description/>
  <cp:lastModifiedBy>korisnik</cp:lastModifiedBy>
  <cp:lastPrinted>2008-04-28T11:55:25Z</cp:lastPrinted>
  <dcterms:created xsi:type="dcterms:W3CDTF">2005-04-11T18:30:17Z</dcterms:created>
  <dcterms:modified xsi:type="dcterms:W3CDTF">2013-03-16T18:25:36Z</dcterms:modified>
  <cp:category/>
  <cp:version/>
  <cp:contentType/>
  <cp:contentStatus/>
</cp:coreProperties>
</file>