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drawings/drawing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7.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8.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9.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0" windowWidth="9075" windowHeight="5565" activeTab="0"/>
  </bookViews>
  <sheets>
    <sheet name="Organizacija natjecanja" sheetId="1" r:id="rId1"/>
    <sheet name="Prijava ekipa i izvlačenje br." sheetId="2" r:id="rId2"/>
    <sheet name="Odabir žirija natjecanja" sheetId="3" state="hidden" r:id="rId3"/>
    <sheet name="Žiri natjecanja" sheetId="4" r:id="rId4"/>
    <sheet name="Startne liste A SEKTOR" sheetId="5" r:id="rId5"/>
    <sheet name="Startne liste B SEKTOR" sheetId="6" r:id="rId6"/>
    <sheet name="Startne liste C SEKTOR" sheetId="7" r:id="rId7"/>
    <sheet name="Startne liste D SEKTOR" sheetId="8" r:id="rId8"/>
    <sheet name="Startne liste E SEKTOR" sheetId="9" r:id="rId9"/>
    <sheet name="Upis rezultata A sektora" sheetId="10" r:id="rId10"/>
    <sheet name="Upis rezultata B sektora" sheetId="11" r:id="rId11"/>
    <sheet name="Upis rezultata C sektora" sheetId="12" r:id="rId12"/>
    <sheet name="Upis rezultata D sektora" sheetId="13" r:id="rId13"/>
    <sheet name="Upis rezultata E sektora" sheetId="14" r:id="rId14"/>
    <sheet name="Dnevnik" sheetId="15" r:id="rId15"/>
    <sheet name="Dnevnik novi" sheetId="16" state="hidden" r:id="rId16"/>
    <sheet name="Sektorski plasman" sheetId="17" state="hidden" r:id="rId17"/>
    <sheet name="Ekipni plasman" sheetId="18" state="hidden" r:id="rId18"/>
    <sheet name="Dnevnik -vodoravni" sheetId="19" r:id="rId19"/>
    <sheet name="Ispis sektorskog plasmana" sheetId="20" r:id="rId20"/>
    <sheet name="Ispis ekipnog plasmana" sheetId="21" r:id="rId21"/>
    <sheet name="Pojedinačni plasman" sheetId="22" state="hidden" r:id="rId22"/>
    <sheet name="Ispis pojedinačnog plasmana" sheetId="23" r:id="rId23"/>
    <sheet name="Proglašenje rezultata" sheetId="24" r:id="rId24"/>
    <sheet name="Analiza natjecanja " sheetId="25" r:id="rId25"/>
    <sheet name="Dijagram težine" sheetId="26" r:id="rId26"/>
    <sheet name="Prijavnica" sheetId="27" r:id="rId27"/>
  </sheets>
  <definedNames>
    <definedName name="_xlnm.Print_Area" localSheetId="24">'Analiza natjecanja '!$A$1:$H$53</definedName>
    <definedName name="_xlnm.Print_Area" localSheetId="25">'Dijagram težine'!$A$1:$R$16</definedName>
    <definedName name="_xlnm.Print_Area" localSheetId="14">'Dnevnik'!$C$1:$S$61</definedName>
    <definedName name="_xlnm.Print_Area" localSheetId="20">'Ispis ekipnog plasmana'!$A$1:$F$54</definedName>
    <definedName name="_xlnm.Print_Area" localSheetId="22">'Ispis pojedinačnog plasmana'!$A$1:$H$113</definedName>
    <definedName name="_xlnm.Print_Area" localSheetId="19">'Ispis sektorskog plasmana'!$A$1:$F$111</definedName>
    <definedName name="_xlnm.Print_Area" localSheetId="0">'Organizacija natjecanja'!$B$1:$O$30</definedName>
    <definedName name="_xlnm.Print_Area" localSheetId="26">'Prijavnica'!$B$1:$J$44</definedName>
    <definedName name="_xlnm.Print_Area" localSheetId="23">'Proglašenje rezultata'!$A$1:$G$101</definedName>
    <definedName name="_xlnm.Print_Area" localSheetId="4">'Startne liste A SEKTOR'!$A$1:$I$336</definedName>
    <definedName name="_xlnm.Print_Area" localSheetId="5">'Startne liste B SEKTOR'!$A$1:$I$336</definedName>
    <definedName name="_xlnm.Print_Area" localSheetId="6">'Startne liste C SEKTOR'!$A$1:$I$336</definedName>
    <definedName name="_xlnm.Print_Area" localSheetId="7">'Startne liste D SEKTOR'!$A$1:$I$336</definedName>
    <definedName name="_xlnm.Print_Area" localSheetId="8">'Startne liste E SEKTOR'!$A$1:$I$336</definedName>
    <definedName name="_xlnm.Print_Area" localSheetId="9">'Upis rezultata A sektora'!$A$1:$N$54</definedName>
    <definedName name="_xlnm.Print_Area" localSheetId="10">'Upis rezultata B sektora'!$A$1:$J$54</definedName>
    <definedName name="_xlnm.Print_Area" localSheetId="11">'Upis rezultata C sektora'!$A$1:$J$54</definedName>
    <definedName name="_xlnm.Print_Area" localSheetId="12">'Upis rezultata D sektora'!$A$1:$J$54</definedName>
    <definedName name="_xlnm.Print_Area" localSheetId="13">'Upis rezultata E sektora'!$A$1:$J$54</definedName>
  </definedNames>
  <calcPr fullCalcOnLoad="1"/>
</workbook>
</file>

<file path=xl/comments1.xml><?xml version="1.0" encoding="utf-8"?>
<comments xmlns="http://schemas.openxmlformats.org/spreadsheetml/2006/main">
  <authors>
    <author>Mladen Čačić</author>
  </authors>
  <commentList>
    <comment ref="J3" authorId="0">
      <text>
        <r>
          <rPr>
            <b/>
            <sz val="10"/>
            <rFont val="Tahoma"/>
            <family val="2"/>
          </rPr>
          <t>Mladen Čačić:</t>
        </r>
        <r>
          <rPr>
            <sz val="8"/>
            <rFont val="Tahoma"/>
            <family val="0"/>
          </rPr>
          <t xml:space="preserve">
</t>
        </r>
        <r>
          <rPr>
            <sz val="10"/>
            <rFont val="Tahoma"/>
            <family val="2"/>
          </rPr>
          <t>Ovdje je važno popuniti sve rubrike koje je moguće popunti jer će  podaci biti prenešeni na niz drugih radnih listova. Pri unosu podataka koristite tipku "Tab"na tastaturi za prelaz na idući redak gdje se vrši upis podatka.</t>
        </r>
      </text>
    </comment>
  </commentList>
</comments>
</file>

<file path=xl/comments10.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N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1.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J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2.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J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3.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J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4.xml><?xml version="1.0" encoding="utf-8"?>
<comments xmlns="http://schemas.openxmlformats.org/spreadsheetml/2006/main">
  <authors>
    <author>Mladen Čačić</author>
  </authors>
  <commentList>
    <comment ref="J1" authorId="0">
      <text>
        <r>
          <rPr>
            <b/>
            <sz val="8"/>
            <rFont val="Tahoma"/>
            <family val="0"/>
          </rPr>
          <t>Mladen Čačić:</t>
        </r>
        <r>
          <rPr>
            <sz val="8"/>
            <rFont val="Tahoma"/>
            <family val="0"/>
          </rPr>
          <t xml:space="preserve">
Kazneni bod (1) dobiva natjecatelj ako na natjecanju nema baždarene posude za hranu i mamce</t>
        </r>
      </text>
    </comment>
    <comment ref="F1" authorId="0">
      <text>
        <r>
          <rPr>
            <b/>
            <sz val="8"/>
            <rFont val="Tahoma"/>
            <family val="0"/>
          </rPr>
          <t>Mladen Čačić:</t>
        </r>
        <r>
          <rPr>
            <sz val="8"/>
            <rFont val="Tahoma"/>
            <family val="0"/>
          </rPr>
          <t xml:space="preserve">
 Samo popuni rubriku "Grama-bodova" i zatim</t>
        </r>
        <r>
          <rPr>
            <sz val="10"/>
            <color indexed="10"/>
            <rFont val="Tahoma"/>
            <family val="2"/>
          </rPr>
          <t xml:space="preserve"> klikni na grb HŠRS na zaglavlju tabele</t>
        </r>
      </text>
    </comment>
  </commentList>
</comments>
</file>

<file path=xl/comments15.xml><?xml version="1.0" encoding="utf-8"?>
<comments xmlns="http://schemas.openxmlformats.org/spreadsheetml/2006/main">
  <authors>
    <author>Mladen Čačić</author>
  </authors>
  <commentList>
    <comment ref="M4" authorId="0">
      <text>
        <r>
          <rPr>
            <b/>
            <sz val="12"/>
            <rFont val="Tahoma"/>
            <family val="2"/>
          </rPr>
          <t>Mladen Čačić:</t>
        </r>
        <r>
          <rPr>
            <sz val="12"/>
            <rFont val="Tahoma"/>
            <family val="2"/>
          </rPr>
          <t xml:space="preserve">
Samo printaj !</t>
        </r>
      </text>
    </comment>
  </commentList>
</comments>
</file>

<file path=xl/comments17.xml><?xml version="1.0" encoding="utf-8"?>
<comments xmlns="http://schemas.openxmlformats.org/spreadsheetml/2006/main">
  <authors>
    <author>Mladen Čačić</author>
  </authors>
  <commentList>
    <comment ref="E5" authorId="0">
      <text>
        <r>
          <rPr>
            <b/>
            <sz val="8"/>
            <rFont val="Tahoma"/>
            <family val="0"/>
          </rPr>
          <t>Mladen Čačić:</t>
        </r>
        <r>
          <rPr>
            <sz val="8"/>
            <rFont val="Tahoma"/>
            <family val="0"/>
          </rPr>
          <t xml:space="preserve">
Označi sektorske plasmane  i sortiraj od 1-n. PAZI ! Ovdje su svi sektori  pa isto ponovi na svakom!</t>
        </r>
      </text>
    </comment>
  </commentList>
</comments>
</file>

<file path=xl/comments18.xml><?xml version="1.0" encoding="utf-8"?>
<comments xmlns="http://schemas.openxmlformats.org/spreadsheetml/2006/main">
  <authors>
    <author>Mladen Čačić</author>
  </authors>
  <commentList>
    <comment ref="F5" authorId="0">
      <text>
        <r>
          <rPr>
            <b/>
            <sz val="8"/>
            <rFont val="Tahoma"/>
            <family val="0"/>
          </rPr>
          <t xml:space="preserve">Mladen Čačić:
</t>
        </r>
        <r>
          <rPr>
            <sz val="8"/>
            <rFont val="Tahoma"/>
            <family val="2"/>
          </rPr>
          <t>E</t>
        </r>
        <r>
          <rPr>
            <sz val="8"/>
            <rFont val="Tahoma"/>
            <family val="0"/>
          </rPr>
          <t>kipni plasman  sortiraj  od 1-n</t>
        </r>
      </text>
    </comment>
  </commentList>
</comments>
</file>

<file path=xl/comments19.xml><?xml version="1.0" encoding="utf-8"?>
<comments xmlns="http://schemas.openxmlformats.org/spreadsheetml/2006/main">
  <authors>
    <author>Mladen Čačić</author>
  </authors>
  <commentList>
    <comment ref="W2" authorId="0">
      <text>
        <r>
          <rPr>
            <b/>
            <sz val="18"/>
            <rFont val="Tahoma"/>
            <family val="2"/>
          </rPr>
          <t>Mladen Čačić:</t>
        </r>
        <r>
          <rPr>
            <sz val="18"/>
            <rFont val="Tahoma"/>
            <family val="2"/>
          </rPr>
          <t xml:space="preserve">
Samo printaj !</t>
        </r>
      </text>
    </comment>
  </commentList>
</comments>
</file>

<file path=xl/comments2.xml><?xml version="1.0" encoding="utf-8"?>
<comments xmlns="http://schemas.openxmlformats.org/spreadsheetml/2006/main">
  <authors>
    <author>Mladen Čačić</author>
    <author>Mladenov laptop</author>
  </authors>
  <commentList>
    <comment ref="A1" authorId="0">
      <text>
        <r>
          <rPr>
            <b/>
            <sz val="8"/>
            <rFont val="Tahoma"/>
            <family val="0"/>
          </rPr>
          <t xml:space="preserve">Mladen Čačić:
</t>
        </r>
        <r>
          <rPr>
            <sz val="8"/>
            <rFont val="Tahoma"/>
            <family val="0"/>
          </rPr>
          <t xml:space="preserve">Nakon što je tablica čitava popunjena, </t>
        </r>
        <r>
          <rPr>
            <sz val="8"/>
            <color indexed="10"/>
            <rFont val="Tahoma"/>
            <family val="2"/>
          </rPr>
          <t>tablicu ostavi sortiranu po Jedinstvenom startnom broju od 1-n</t>
        </r>
        <r>
          <rPr>
            <sz val="8"/>
            <rFont val="Tahoma"/>
            <family val="0"/>
          </rPr>
          <t>.U tom slučaju ne moraš kasnije razrezivati startne liste za pojedine sektore već ćeš imati startne liste složene rastućim redom (po dvije na jednom listu) pa ćeš ih takve i predati sektorskim sudcima.</t>
        </r>
      </text>
    </comment>
    <comment ref="B1" authorId="0">
      <text>
        <r>
          <rPr>
            <b/>
            <sz val="8"/>
            <rFont val="Tahoma"/>
            <family val="0"/>
          </rPr>
          <t>Mladen Čačić:</t>
        </r>
        <r>
          <rPr>
            <sz val="8"/>
            <rFont val="Tahoma"/>
            <family val="0"/>
          </rPr>
          <t xml:space="preserve">
Nakon unosa redosljeda </t>
        </r>
        <r>
          <rPr>
            <sz val="8"/>
            <color indexed="10"/>
            <rFont val="Tahoma"/>
            <family val="2"/>
          </rPr>
          <t>sortitaj od 1-n.</t>
        </r>
      </text>
    </comment>
    <comment ref="C1" authorId="0">
      <text>
        <r>
          <rPr>
            <b/>
            <sz val="8"/>
            <rFont val="Tahoma"/>
            <family val="0"/>
          </rPr>
          <t xml:space="preserve">Mladen Čačić:
</t>
        </r>
        <r>
          <rPr>
            <sz val="8"/>
            <rFont val="Tahoma"/>
            <family val="2"/>
          </rPr>
          <t>Možete unijeti do 12 ekipa.</t>
        </r>
        <r>
          <rPr>
            <sz val="8"/>
            <rFont val="Tahoma"/>
            <family val="0"/>
          </rPr>
          <t xml:space="preserve">
Nakon završetka unosa podataka sa prijavnica </t>
        </r>
        <r>
          <rPr>
            <sz val="8"/>
            <color indexed="10"/>
            <rFont val="Tahoma"/>
            <family val="2"/>
          </rPr>
          <t>sortiraj</t>
        </r>
        <r>
          <rPr>
            <sz val="8"/>
            <rFont val="Tahoma"/>
            <family val="0"/>
          </rPr>
          <t xml:space="preserve"> ekipe od </t>
        </r>
        <r>
          <rPr>
            <sz val="8"/>
            <color indexed="10"/>
            <rFont val="Tahoma"/>
            <family val="2"/>
          </rPr>
          <t>1-n</t>
        </r>
        <r>
          <rPr>
            <sz val="8"/>
            <rFont val="Tahoma"/>
            <family val="0"/>
          </rPr>
          <t xml:space="preserve"> ili od </t>
        </r>
        <r>
          <rPr>
            <sz val="8"/>
            <color indexed="10"/>
            <rFont val="Tahoma"/>
            <family val="2"/>
          </rPr>
          <t>n-1</t>
        </r>
        <r>
          <rPr>
            <sz val="8"/>
            <rFont val="Tahoma"/>
            <family val="0"/>
          </rPr>
          <t xml:space="preserve"> (sukladno Pravilniku).
</t>
        </r>
        <r>
          <rPr>
            <sz val="8"/>
            <color indexed="10"/>
            <rFont val="Tahoma"/>
            <family val="2"/>
          </rPr>
          <t>SAVJET:</t>
        </r>
        <r>
          <rPr>
            <sz val="8"/>
            <rFont val="Tahoma"/>
            <family val="0"/>
          </rPr>
          <t xml:space="preserve">
Ako se radi o kolima lige gdje su neke ekipe "iskoristile" prve i zadnje pozicije (lista prvi-zadnji) ili o razdvojenim sektorima (nema jedinstvenog startnog broja) pa je izvlačenje "dirigirano" te ekipa više ne može imati prvi ili zadnji broj u odvojenom sektoru,</t>
        </r>
        <r>
          <rPr>
            <sz val="8"/>
            <color indexed="10"/>
            <rFont val="Tahoma"/>
            <family val="2"/>
          </rPr>
          <t>savjetujem da se oboji polje koje sadrži takvu ekipu</t>
        </r>
        <r>
          <rPr>
            <sz val="8"/>
            <rFont val="Tahoma"/>
            <family val="0"/>
          </rPr>
          <t xml:space="preserve"> pa će biti preglednije i brže izvlačenje preostalih startnih brojeva za te ekipe.</t>
        </r>
      </text>
    </comment>
    <comment ref="D1" authorId="0">
      <text>
        <r>
          <rPr>
            <b/>
            <sz val="8"/>
            <rFont val="Tahoma"/>
            <family val="0"/>
          </rPr>
          <t>Mladen Čačić:</t>
        </r>
        <r>
          <rPr>
            <sz val="8"/>
            <rFont val="Tahoma"/>
            <family val="0"/>
          </rPr>
          <t xml:space="preserve">
</t>
        </r>
        <r>
          <rPr>
            <b/>
            <sz val="10"/>
            <color indexed="10"/>
            <rFont val="Tahoma"/>
            <family val="2"/>
          </rPr>
          <t>Savjet:</t>
        </r>
        <r>
          <rPr>
            <sz val="8"/>
            <rFont val="Tahoma"/>
            <family val="0"/>
          </rPr>
          <t xml:space="preserve">
Nakon što si popunio sve
rubrike</t>
        </r>
        <r>
          <rPr>
            <u val="single"/>
            <sz val="9"/>
            <rFont val="Tahoma"/>
            <family val="2"/>
          </rPr>
          <t xml:space="preserve"> </t>
        </r>
        <r>
          <rPr>
            <u val="single"/>
            <sz val="9"/>
            <color indexed="10"/>
            <rFont val="Tahoma"/>
            <family val="2"/>
          </rPr>
          <t>isprintaj ovu listu</t>
        </r>
        <r>
          <rPr>
            <sz val="8"/>
            <color indexed="10"/>
            <rFont val="Tahoma"/>
            <family val="2"/>
          </rPr>
          <t>.</t>
        </r>
        <r>
          <rPr>
            <sz val="8"/>
            <rFont val="Tahoma"/>
            <family val="0"/>
          </rPr>
          <t xml:space="preserve">
Tada nije potrebno podatke o redosljedu izvlačenja, sektoru i startnom broju upisivati na prijavnice.
</t>
        </r>
      </text>
    </comment>
    <comment ref="S1" authorId="1">
      <text>
        <r>
          <rPr>
            <b/>
            <sz val="8"/>
            <rFont val="Tahoma"/>
            <family val="0"/>
          </rPr>
          <t xml:space="preserve">Mladen Čačić:
</t>
        </r>
        <r>
          <rPr>
            <sz val="8"/>
            <rFont val="Tahoma"/>
            <family val="2"/>
          </rPr>
          <t xml:space="preserve">Vrlo je važno da se obrati pažnja  </t>
        </r>
        <r>
          <rPr>
            <u val="single"/>
            <sz val="10"/>
            <color indexed="10"/>
            <rFont val="Tahoma"/>
            <family val="2"/>
          </rPr>
          <t>kada je kapetan u dvojnoj funkciji</t>
        </r>
        <r>
          <rPr>
            <sz val="10"/>
            <color indexed="10"/>
            <rFont val="Tahoma"/>
            <family val="2"/>
          </rPr>
          <t xml:space="preserve"> </t>
        </r>
        <r>
          <rPr>
            <sz val="8"/>
            <rFont val="Tahoma"/>
            <family val="2"/>
          </rPr>
          <t xml:space="preserve">natjecatelj-kapetan da se upiše </t>
        </r>
        <r>
          <rPr>
            <sz val="10"/>
            <color indexed="10"/>
            <rFont val="Tahoma"/>
            <family val="2"/>
          </rPr>
          <t>identično</t>
        </r>
        <r>
          <rPr>
            <sz val="8"/>
            <rFont val="Tahoma"/>
            <family val="2"/>
          </rPr>
          <t xml:space="preserve"> kao u prethodnim kolonama gdje su upisani natjecatelji, kako bi program to prepoznao i mogao pravilno odabrati Žiri natjecanja</t>
        </r>
        <r>
          <rPr>
            <sz val="8"/>
            <rFont val="Tahoma"/>
            <family val="0"/>
          </rPr>
          <t xml:space="preserve">
</t>
        </r>
        <r>
          <rPr>
            <sz val="10"/>
            <color indexed="10"/>
            <rFont val="Tahoma"/>
            <family val="2"/>
          </rPr>
          <t>(</t>
        </r>
        <r>
          <rPr>
            <u val="single"/>
            <sz val="10"/>
            <color indexed="10"/>
            <rFont val="Tahoma"/>
            <family val="2"/>
          </rPr>
          <t>u Žiri mogu ući samo oni koji nisu u dvojnoj funkciji</t>
        </r>
        <r>
          <rPr>
            <sz val="10"/>
            <color indexed="10"/>
            <rFont val="Tahoma"/>
            <family val="2"/>
          </rPr>
          <t xml:space="preserve">).
</t>
        </r>
        <r>
          <rPr>
            <sz val="9"/>
            <rFont val="Tahoma"/>
            <family val="2"/>
          </rPr>
          <t xml:space="preserve">U koliko je </t>
        </r>
        <r>
          <rPr>
            <sz val="10"/>
            <color indexed="10"/>
            <rFont val="Tahoma"/>
            <family val="2"/>
          </rPr>
          <t xml:space="preserve">jedinstveni startni broj </t>
        </r>
        <r>
          <rPr>
            <sz val="10"/>
            <rFont val="Tahoma"/>
            <family val="2"/>
          </rPr>
          <t>obrazac je u redu.Ako si ga slučajno priredio za prekid staze</t>
        </r>
        <r>
          <rPr>
            <sz val="10"/>
            <color indexed="10"/>
            <rFont val="Tahoma"/>
            <family val="2"/>
          </rPr>
          <t xml:space="preserve"> klikni na ovaj grb pa će se obrazac prilagoditi za upis natjecanja bez prekida staze.</t>
        </r>
      </text>
    </comment>
    <comment ref="U1" authorId="0">
      <text>
        <r>
          <rPr>
            <b/>
            <sz val="8"/>
            <rFont val="Tahoma"/>
            <family val="0"/>
          </rPr>
          <t>Mladen Čačić:</t>
        </r>
        <r>
          <rPr>
            <sz val="8"/>
            <rFont val="Tahoma"/>
            <family val="0"/>
          </rPr>
          <t xml:space="preserve">
U koliko je natjecanje gdje su razdvojeni sektori pa nema jedinstvenog startnog broja ovo su pomoćne kolone (A,B,C,D,E) koji služe isključivo za sortiranje tablice prije štampanja startnih lista za pojedine sektore, npr. sortirate kolonu B prije ispisa B sektora.Kada završite sa ispisom svih sektora ostavite tablicu sortiranu po koloni A. </t>
        </r>
      </text>
    </comment>
    <comment ref="E1" authorId="0">
      <text>
        <r>
          <rPr>
            <b/>
            <sz val="8"/>
            <rFont val="Tahoma"/>
            <family val="0"/>
          </rPr>
          <t>Mladen Čačić:</t>
        </r>
        <r>
          <rPr>
            <sz val="8"/>
            <rFont val="Tahoma"/>
            <family val="0"/>
          </rPr>
          <t xml:space="preserve">
Ne upisuj već </t>
        </r>
        <r>
          <rPr>
            <sz val="8"/>
            <color indexed="10"/>
            <rFont val="Tahoma"/>
            <family val="2"/>
          </rPr>
          <t>odaberi iz padajućeg popisa</t>
        </r>
        <r>
          <rPr>
            <sz val="8"/>
            <rFont val="Tahoma"/>
            <family val="0"/>
          </rPr>
          <t xml:space="preserve"> na poljima ispod</t>
        </r>
      </text>
    </comment>
    <comment ref="F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I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L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O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Y1" authorId="0">
      <text>
        <r>
          <rPr>
            <b/>
            <sz val="8"/>
            <rFont val="Tahoma"/>
            <family val="0"/>
          </rPr>
          <t>Mladen Čačić:</t>
        </r>
        <r>
          <rPr>
            <sz val="8"/>
            <rFont val="Tahoma"/>
            <family val="0"/>
          </rPr>
          <t xml:space="preserve">
U koliko je natjecanje gdje su </t>
        </r>
        <r>
          <rPr>
            <sz val="10"/>
            <color indexed="10"/>
            <rFont val="Tahoma"/>
            <family val="2"/>
          </rPr>
          <t xml:space="preserve">razdvojeni sektori </t>
        </r>
        <r>
          <rPr>
            <sz val="8"/>
            <rFont val="Tahoma"/>
            <family val="0"/>
          </rPr>
          <t xml:space="preserve">pa nema jedinstvenog startnog broja </t>
        </r>
        <r>
          <rPr>
            <sz val="8"/>
            <color indexed="10"/>
            <rFont val="Tahoma"/>
            <family val="2"/>
          </rPr>
          <t>klikni na grb</t>
        </r>
        <r>
          <rPr>
            <sz val="8"/>
            <rFont val="Tahoma"/>
            <family val="0"/>
          </rPr>
          <t xml:space="preserve"> (na zelenom polju) pa će se obrazac prilagoditi za upis  razdvojenih sektora.</t>
        </r>
      </text>
    </comment>
  </commentList>
</comments>
</file>

<file path=xl/comments20.xml><?xml version="1.0" encoding="utf-8"?>
<comments xmlns="http://schemas.openxmlformats.org/spreadsheetml/2006/main">
  <authors>
    <author>Mladenov laptop</author>
  </authors>
  <commentList>
    <comment ref="G4" authorId="0">
      <text>
        <r>
          <rPr>
            <b/>
            <sz val="8"/>
            <rFont val="Tahoma"/>
            <family val="0"/>
          </rPr>
          <t>Mladen Čačić:</t>
        </r>
        <r>
          <rPr>
            <sz val="8"/>
            <rFont val="Tahoma"/>
            <family val="2"/>
          </rPr>
          <t xml:space="preserve">
Isprintajte si ovu stranicu ako želite  (2 lista). 
Provjeri dali je sortirano po rastućem plasmanu, ako nije klikni na grb HŠRS.</t>
        </r>
      </text>
    </comment>
  </commentList>
</comments>
</file>

<file path=xl/comments21.xml><?xml version="1.0" encoding="utf-8"?>
<comments xmlns="http://schemas.openxmlformats.org/spreadsheetml/2006/main">
  <authors>
    <author>Mladen Čačić</author>
  </authors>
  <commentList>
    <comment ref="I4" authorId="0">
      <text>
        <r>
          <rPr>
            <b/>
            <sz val="8"/>
            <rFont val="Tahoma"/>
            <family val="0"/>
          </rPr>
          <t>Mladen Čačić:</t>
        </r>
        <r>
          <rPr>
            <sz val="8"/>
            <rFont val="Tahoma"/>
            <family val="0"/>
          </rPr>
          <t xml:space="preserve">
Isprintajte ovu stranicu i stavite na oglasnu ploču ili predajte organizatoru.Provjeri dali je sortirano prema rastućem plasmanu, u koliko nije klikni na grb HŠRS.</t>
        </r>
      </text>
    </comment>
  </commentList>
</comments>
</file>

<file path=xl/comments22.xml><?xml version="1.0" encoding="utf-8"?>
<comments xmlns="http://schemas.openxmlformats.org/spreadsheetml/2006/main">
  <authors>
    <author>Mladen Čačić</author>
  </authors>
  <commentList>
    <comment ref="G4" authorId="0">
      <text>
        <r>
          <rPr>
            <b/>
            <sz val="8"/>
            <rFont val="Tahoma"/>
            <family val="0"/>
          </rPr>
          <t>Mladen Čačić:</t>
        </r>
        <r>
          <rPr>
            <sz val="8"/>
            <rFont val="Tahoma"/>
            <family val="0"/>
          </rPr>
          <t xml:space="preserve">
Sortiraj pojedinačni plasman od 1-n</t>
        </r>
      </text>
    </comment>
  </commentList>
</comments>
</file>

<file path=xl/comments23.xml><?xml version="1.0" encoding="utf-8"?>
<comments xmlns="http://schemas.openxmlformats.org/spreadsheetml/2006/main">
  <authors>
    <author>Mladen Čačić</author>
  </authors>
  <commentList>
    <comment ref="I4" authorId="0">
      <text>
        <r>
          <rPr>
            <b/>
            <sz val="8"/>
            <rFont val="Tahoma"/>
            <family val="0"/>
          </rPr>
          <t>Mladen Čačić:</t>
        </r>
        <r>
          <rPr>
            <sz val="8"/>
            <rFont val="Tahoma"/>
            <family val="0"/>
          </rPr>
          <t xml:space="preserve">
Isprintajte ovu stranicu i stavite na oglasnu ploču ili predajte organizatoru.Provjeri dali je sortirano prema rastućem plasmanu, u koiko nije klikni na grb HŠRS.</t>
        </r>
      </text>
    </comment>
  </commentList>
</comments>
</file>

<file path=xl/comments24.xml><?xml version="1.0" encoding="utf-8"?>
<comments xmlns="http://schemas.openxmlformats.org/spreadsheetml/2006/main">
  <authors>
    <author>Mladen Čačić</author>
  </authors>
  <commentList>
    <comment ref="H5" authorId="0">
      <text>
        <r>
          <rPr>
            <b/>
            <sz val="8"/>
            <rFont val="Tahoma"/>
            <family val="0"/>
          </rPr>
          <t>Mladen Čačić:</t>
        </r>
        <r>
          <rPr>
            <sz val="8"/>
            <rFont val="Tahoma"/>
            <family val="0"/>
          </rPr>
          <t xml:space="preserve">
Provjeri dali je sortirano prema plasmanu 3-1,u koliko nije klikni na grb HŠRS, štampaj i predaj Vrhovnom sucu da  proglasi rezultate</t>
        </r>
      </text>
    </comment>
  </commentList>
</comments>
</file>

<file path=xl/comments25.xml><?xml version="1.0" encoding="utf-8"?>
<comments xmlns="http://schemas.openxmlformats.org/spreadsheetml/2006/main">
  <authors>
    <author>Mladen Čačić</author>
  </authors>
  <commentList>
    <comment ref="I3" authorId="0">
      <text>
        <r>
          <rPr>
            <b/>
            <sz val="8"/>
            <rFont val="Tahoma"/>
            <family val="0"/>
          </rPr>
          <t>Mladen Čačić:</t>
        </r>
        <r>
          <rPr>
            <sz val="8"/>
            <rFont val="Tahoma"/>
            <family val="0"/>
          </rPr>
          <t xml:space="preserve">
Samo printaj!</t>
        </r>
      </text>
    </comment>
  </commentList>
</comments>
</file>

<file path=xl/comments27.xml><?xml version="1.0" encoding="utf-8"?>
<comments xmlns="http://schemas.openxmlformats.org/spreadsheetml/2006/main">
  <authors>
    <author>Mladen Čačić</author>
  </authors>
  <commentList>
    <comment ref="I2" authorId="0">
      <text>
        <r>
          <rPr>
            <b/>
            <sz val="8"/>
            <rFont val="Tahoma"/>
            <family val="0"/>
          </rPr>
          <t>Mladen Čačić:</t>
        </r>
        <r>
          <rPr>
            <sz val="8"/>
            <rFont val="Tahoma"/>
            <family val="0"/>
          </rPr>
          <t xml:space="preserve">
Umnoži si prijavnice i nakon njihovog popunjavanja od strane kapetana unesi podatke u prilog "Prijava ekipa i izvlačenje br."</t>
        </r>
      </text>
    </comment>
  </commentList>
</comments>
</file>

<file path=xl/comments3.xml><?xml version="1.0" encoding="utf-8"?>
<comments xmlns="http://schemas.openxmlformats.org/spreadsheetml/2006/main">
  <authors>
    <author>Mladen Čačić</author>
  </authors>
  <commentList>
    <comment ref="F2" authorId="0">
      <text>
        <r>
          <rPr>
            <b/>
            <sz val="8"/>
            <rFont val="Tahoma"/>
            <family val="0"/>
          </rPr>
          <t>Mladen Čačić:</t>
        </r>
        <r>
          <rPr>
            <sz val="8"/>
            <rFont val="Tahoma"/>
            <family val="0"/>
          </rPr>
          <t xml:space="preserve">
Provjeri dali je redosljed izvlačenja od 1-n ,ako nije vrati se na "Prijava ekipa  i izvlačenje br." i sortiraj redosljed izvlačenja od 1-n.Vrati se na ovu stranicu i filtriraj "Provjera"  (odaberi "kapetan"), a zatim kopiraj imena i naziv  ekipe za prva 4 kapetana te ih "zaljepi" na mjesta članova žirija od 4.-7.</t>
        </r>
      </text>
    </comment>
    <comment ref="B25" authorId="0">
      <text>
        <r>
          <rPr>
            <b/>
            <sz val="8"/>
            <rFont val="Tahoma"/>
            <family val="0"/>
          </rPr>
          <t>Mladen Čačić:</t>
        </r>
        <r>
          <rPr>
            <sz val="8"/>
            <rFont val="Tahoma"/>
            <family val="0"/>
          </rPr>
          <t xml:space="preserve">
Sortiraj "kapetan"</t>
        </r>
      </text>
    </comment>
  </commentList>
</comments>
</file>

<file path=xl/comments4.xml><?xml version="1.0" encoding="utf-8"?>
<comments xmlns="http://schemas.openxmlformats.org/spreadsheetml/2006/main">
  <authors>
    <author>Mladen Čačić</author>
  </authors>
  <commentList>
    <comment ref="C31" authorId="0">
      <text>
        <r>
          <rPr>
            <b/>
            <sz val="8"/>
            <rFont val="Tahoma"/>
            <family val="0"/>
          </rPr>
          <t>Mladen Čačić:</t>
        </r>
        <r>
          <rPr>
            <sz val="8"/>
            <rFont val="Tahoma"/>
            <family val="0"/>
          </rPr>
          <t xml:space="preserve">
Sortiraj "kapetan"</t>
        </r>
      </text>
    </comment>
    <comment ref="J5" authorId="0">
      <text>
        <r>
          <rPr>
            <b/>
            <sz val="8"/>
            <rFont val="Tahoma"/>
            <family val="0"/>
          </rPr>
          <t>Mladen Čačić:</t>
        </r>
        <r>
          <rPr>
            <sz val="8"/>
            <rFont val="Tahoma"/>
            <family val="0"/>
          </rPr>
          <t xml:space="preserve">
</t>
        </r>
        <r>
          <rPr>
            <sz val="8"/>
            <rFont val="Tahoma"/>
            <family val="0"/>
          </rPr>
          <t xml:space="preserve">Proglasite Žiri natjecanja i </t>
        </r>
        <r>
          <rPr>
            <sz val="8"/>
            <rFont val="Tahoma"/>
            <family val="2"/>
          </rPr>
          <t>isprintajte si ovu stranicu.</t>
        </r>
        <r>
          <rPr>
            <sz val="8"/>
            <rFont val="Tahoma"/>
            <family val="0"/>
          </rPr>
          <t xml:space="preserve">
</t>
        </r>
      </text>
    </comment>
  </commentList>
</comments>
</file>

<file path=xl/comments5.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"A"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6.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"B"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7.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"C"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8.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"D"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9.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"E" te tada printaj (tablica mora biti pripremljena za odvojene sektore).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r>
          <rPr>
            <sz val="10"/>
            <color indexed="10"/>
            <rFont val="Tahoma"/>
            <family val="2"/>
          </rPr>
          <t>Po završenom printanju vrati se na list "Prijava ekipa i izvlačenje br." i ostavi sortirano po pomoćnoj koloni "A" (ako su sektori razdvojeni).</t>
        </r>
      </text>
    </comment>
  </commentList>
</comments>
</file>

<file path=xl/sharedStrings.xml><?xml version="1.0" encoding="utf-8"?>
<sst xmlns="http://schemas.openxmlformats.org/spreadsheetml/2006/main" count="1635" uniqueCount="288">
  <si>
    <t>Naziv natjecanja:</t>
  </si>
  <si>
    <t>Naziv vode:</t>
  </si>
  <si>
    <t>Mjesto i datum održavanja:</t>
  </si>
  <si>
    <t>Organizator natjecanja:</t>
  </si>
  <si>
    <t>Kategorija:</t>
  </si>
  <si>
    <t>SENIORI</t>
  </si>
  <si>
    <t>Disciplina:</t>
  </si>
  <si>
    <t>lov ribe udicom na plovak</t>
  </si>
  <si>
    <t>Domaćin natjecanja:</t>
  </si>
  <si>
    <t>Predstavnik domaćina:</t>
  </si>
  <si>
    <t>SUDAČKI KOLEGIJ:</t>
  </si>
  <si>
    <t>Vrhovni sudac:</t>
  </si>
  <si>
    <t>Delegat (predstavnik organizatora):</t>
  </si>
  <si>
    <t>Mladen Čačić</t>
  </si>
  <si>
    <t>Sudac A sektora:</t>
  </si>
  <si>
    <t>Sudac B sektora:</t>
  </si>
  <si>
    <t>Sudac C sektora:</t>
  </si>
  <si>
    <t>Sudac D sektora:</t>
  </si>
  <si>
    <t>Sudac E sektora:</t>
  </si>
  <si>
    <t>Jedinstveni startni broj</t>
  </si>
  <si>
    <t>Redosljed izvlačenja</t>
  </si>
  <si>
    <t>Ekipa</t>
  </si>
  <si>
    <t>Ime i prezime</t>
  </si>
  <si>
    <t>Startni broj</t>
  </si>
  <si>
    <t>Sektor</t>
  </si>
  <si>
    <t>Ilova Garešnica</t>
  </si>
  <si>
    <t>C</t>
  </si>
  <si>
    <t>Josip Kutlić</t>
  </si>
  <si>
    <t>B</t>
  </si>
  <si>
    <t>Dražen Červeni</t>
  </si>
  <si>
    <t>A</t>
  </si>
  <si>
    <t>Tomislav Duković</t>
  </si>
  <si>
    <t>E</t>
  </si>
  <si>
    <t>D</t>
  </si>
  <si>
    <t>Anđelo Orač</t>
  </si>
  <si>
    <t>TPK Zagreb</t>
  </si>
  <si>
    <t>Štuka Torčec</t>
  </si>
  <si>
    <t>Goran Štargl</t>
  </si>
  <si>
    <t>Goran Matijašić</t>
  </si>
  <si>
    <t>ŽIRI NATJECANJA</t>
  </si>
  <si>
    <t>Žiri se formira za ispitivanje žalbi i prekršaja,te određivanje kazni predviđenih Pravilnikom.</t>
  </si>
  <si>
    <t>Formira se prije natjecanja,a sastoji se od 7 osoba:</t>
  </si>
  <si>
    <t>*predstavnika organizatora - predsjedava žiriju</t>
  </si>
  <si>
    <t>*predstavnika domaćina</t>
  </si>
  <si>
    <t>*vrhovnog suca</t>
  </si>
  <si>
    <t>*kapetana 4 različite sudjelujuće ekipe ili pojedinca izabranih po redosljedu izvlačenja</t>
  </si>
  <si>
    <t>od broja 1, pod uvjetom da nisu u dvojnoj funkciji natjecatelj - kapetan.</t>
  </si>
  <si>
    <t>1.</t>
  </si>
  <si>
    <t>predsjedava Žiriju</t>
  </si>
  <si>
    <t>2.</t>
  </si>
  <si>
    <t>član Žirija</t>
  </si>
  <si>
    <t>3.</t>
  </si>
  <si>
    <t>4.</t>
  </si>
  <si>
    <t>5.</t>
  </si>
  <si>
    <t>6.</t>
  </si>
  <si>
    <t>7.</t>
  </si>
  <si>
    <t>Provjera</t>
  </si>
  <si>
    <t>Kapetan</t>
  </si>
  <si>
    <t>(mjesto i datum održavanja)</t>
  </si>
  <si>
    <t>P R I J A V N I C A - l o v  r i b e</t>
  </si>
  <si>
    <t>za natjecanje</t>
  </si>
  <si>
    <t xml:space="preserve">ŠRD </t>
  </si>
  <si>
    <t>KATEGORIJA</t>
  </si>
  <si>
    <t>RED.BR.</t>
  </si>
  <si>
    <t>IME I PREZIME</t>
  </si>
  <si>
    <t>SEKTOR</t>
  </si>
  <si>
    <t xml:space="preserve">   STARTNI BROJ</t>
  </si>
  <si>
    <t>KAPETAN  EKIPE</t>
  </si>
  <si>
    <t>-</t>
  </si>
  <si>
    <t>ŠRD</t>
  </si>
  <si>
    <t xml:space="preserve">        Hrvatski športsko-ribolovni savez</t>
  </si>
  <si>
    <t>(mjesto i vrijeme održavanja)</t>
  </si>
  <si>
    <t>STARTNA LISTA - LOV RIBE</t>
  </si>
  <si>
    <t>(naziv natjecanja)</t>
  </si>
  <si>
    <t>RED.IZVL.</t>
  </si>
  <si>
    <t>START.BR.</t>
  </si>
  <si>
    <t>GRAMA-BODOVA</t>
  </si>
  <si>
    <t>SEKTORSKI PLASMAN</t>
  </si>
  <si>
    <t>POJEDINAČNI PLAS.</t>
  </si>
  <si>
    <t>SUDAC:</t>
  </si>
  <si>
    <t>NATJECATELJ:</t>
  </si>
  <si>
    <t>RED.BR</t>
  </si>
  <si>
    <t>Sektorski plasman</t>
  </si>
  <si>
    <t>NATJECATELJ</t>
  </si>
  <si>
    <t>Grama - bodova</t>
  </si>
  <si>
    <t>EKIPNI PLASMANI</t>
  </si>
  <si>
    <t>Red.br.</t>
  </si>
  <si>
    <t>E K I P A  ( S  R  D )</t>
  </si>
  <si>
    <t>Zbroj sektorskih plasmana</t>
  </si>
  <si>
    <t>Ukupna težina ribe</t>
  </si>
  <si>
    <t>Najveća pojedinačna težina</t>
  </si>
  <si>
    <t>Ekipni plasman</t>
  </si>
  <si>
    <t xml:space="preserve">Na natjecanju je nastupilo  </t>
  </si>
  <si>
    <t>ekipa,</t>
  </si>
  <si>
    <t>natjecatelja</t>
  </si>
  <si>
    <t>kapetana ekipa,</t>
  </si>
  <si>
    <t>sudaca.</t>
  </si>
  <si>
    <t>Ukupno</t>
  </si>
  <si>
    <t>sudionika.</t>
  </si>
  <si>
    <t>Postignuti su sljedeći rezultati:</t>
  </si>
  <si>
    <t>Pojedinačno po sektorima:</t>
  </si>
  <si>
    <t>POJEDINAČNI PLASMAN</t>
  </si>
  <si>
    <t>Bodova</t>
  </si>
  <si>
    <t>EKIPA</t>
  </si>
  <si>
    <t>Pojedinačni plasman</t>
  </si>
  <si>
    <t>sudaca koji su sačinjavali Sudački kolegij.</t>
  </si>
  <si>
    <t>SEKTOR A</t>
  </si>
  <si>
    <t>SEKTOR B</t>
  </si>
  <si>
    <t>SEKTOR C</t>
  </si>
  <si>
    <t>SEKTOR D</t>
  </si>
  <si>
    <t>SEKTOR E</t>
  </si>
  <si>
    <t>Pojedinačno :</t>
  </si>
  <si>
    <t>Ekipno :</t>
  </si>
  <si>
    <t>ANALIZA NATJECANJA</t>
  </si>
  <si>
    <t>Sudionici natjecanja:</t>
  </si>
  <si>
    <t>Statistika ulova:</t>
  </si>
  <si>
    <t>(mjesto i datum)</t>
  </si>
  <si>
    <t>Red. br.</t>
  </si>
  <si>
    <t>startni broj</t>
  </si>
  <si>
    <t>bodovi</t>
  </si>
  <si>
    <t>sektorski plasman</t>
  </si>
  <si>
    <t xml:space="preserve">zbroj sekt. plasmana </t>
  </si>
  <si>
    <t>ekipni plasman</t>
  </si>
  <si>
    <t>BODOVI</t>
  </si>
  <si>
    <t>POJED.PL.</t>
  </si>
  <si>
    <t>Vrhovni sudac :</t>
  </si>
  <si>
    <t>Delegat :</t>
  </si>
  <si>
    <t>DNEVNIK NATJECANJA</t>
  </si>
  <si>
    <t>"LOV RIBE UDICOM NA PLOVAK"</t>
  </si>
  <si>
    <t>Bjelovar Bjelovar</t>
  </si>
  <si>
    <t>Zdravko Gotovac</t>
  </si>
  <si>
    <t>Marijan Jurić</t>
  </si>
  <si>
    <t>Emil Lukman</t>
  </si>
  <si>
    <t>Ivan Kovač</t>
  </si>
  <si>
    <t>Elvis Šinko</t>
  </si>
  <si>
    <t>Tihomir Vukić</t>
  </si>
  <si>
    <t>Dalibor Agbaba</t>
  </si>
  <si>
    <t>Smail Habibović</t>
  </si>
  <si>
    <t>Hrvoje Horvat</t>
  </si>
  <si>
    <t>Azzuro Varaždin</t>
  </si>
  <si>
    <t>Dnevnik natjecanja:</t>
  </si>
  <si>
    <t>Na vodi:</t>
  </si>
  <si>
    <t>dana:</t>
  </si>
  <si>
    <t>kategorija:</t>
  </si>
  <si>
    <t>Sektorskiplasman</t>
  </si>
  <si>
    <t>Bodova ekipno</t>
  </si>
  <si>
    <t>Delegat:</t>
  </si>
  <si>
    <t>Strana:</t>
  </si>
  <si>
    <t>pojed. plasman</t>
  </si>
  <si>
    <t>Dražen Štajduhar</t>
  </si>
  <si>
    <t>Bjelka GME Sunja</t>
  </si>
  <si>
    <t>Rak Rakitje</t>
  </si>
  <si>
    <t>Varaždin Varaždin</t>
  </si>
  <si>
    <t>Dejan Vondrak</t>
  </si>
  <si>
    <t>Milenko Popović</t>
  </si>
  <si>
    <t>Ivica Medner</t>
  </si>
  <si>
    <t>Leonardo Holubek</t>
  </si>
  <si>
    <t>Dražen Sertić</t>
  </si>
  <si>
    <t>Karlo Međurečan</t>
  </si>
  <si>
    <t>prezime       i ime</t>
  </si>
  <si>
    <t>EKIPNI PLASMAN</t>
  </si>
  <si>
    <t>red.izv.</t>
  </si>
  <si>
    <t>red. izv.</t>
  </si>
  <si>
    <t>Izračun</t>
  </si>
  <si>
    <t>Startni broj A sektora</t>
  </si>
  <si>
    <t>Startni broj A sektor</t>
  </si>
  <si>
    <t>natjecatelja,</t>
  </si>
  <si>
    <t>Danijel Picer</t>
  </si>
  <si>
    <t>Saša Mustač</t>
  </si>
  <si>
    <t>Željko Štargl</t>
  </si>
  <si>
    <t>Mladen Kečkeš</t>
  </si>
  <si>
    <t>Stjepan Gorički</t>
  </si>
  <si>
    <t>Martin Vrčković</t>
  </si>
  <si>
    <t>Zlatko Auker</t>
  </si>
  <si>
    <t>Zlatko Novačić</t>
  </si>
  <si>
    <t>Ivo Begović</t>
  </si>
  <si>
    <t>Vladimir Šuker</t>
  </si>
  <si>
    <t>Ivica Bonino Hasan</t>
  </si>
  <si>
    <t>Kristijan Kosmačin</t>
  </si>
  <si>
    <t>Tihomir Hunjak</t>
  </si>
  <si>
    <t>Marijan Lisjak</t>
  </si>
  <si>
    <t>Damir Škorić</t>
  </si>
  <si>
    <t>Mensur Rošić</t>
  </si>
  <si>
    <t>Davor Florijanić</t>
  </si>
  <si>
    <t>Zlatko Kračun</t>
  </si>
  <si>
    <t>Dražen Bajzek</t>
  </si>
  <si>
    <t>Ljubo Matulin</t>
  </si>
  <si>
    <t>Egon Kovačić</t>
  </si>
  <si>
    <t>Klen N.Gradiška</t>
  </si>
  <si>
    <t>Damir Dević</t>
  </si>
  <si>
    <t>Goran Funes</t>
  </si>
  <si>
    <t>Stiven Palijan</t>
  </si>
  <si>
    <t>Petar Petrović</t>
  </si>
  <si>
    <t>Mario Akmačić</t>
  </si>
  <si>
    <t>Tihomir Đurić</t>
  </si>
  <si>
    <t>Korana Karlovac</t>
  </si>
  <si>
    <t>Nenad Viboh</t>
  </si>
  <si>
    <t>Damir Jauševac</t>
  </si>
  <si>
    <t>Hrvoje Kovač</t>
  </si>
  <si>
    <t>Trnje-ŠR Zagreb</t>
  </si>
  <si>
    <t>Goran Abramović</t>
  </si>
  <si>
    <t>Željko Raženj</t>
  </si>
  <si>
    <t>Ivan Fehir</t>
  </si>
  <si>
    <t>Domagoj Ceković</t>
  </si>
  <si>
    <t>Zdravko Vrbanek</t>
  </si>
  <si>
    <t>Zlatko Poparić</t>
  </si>
  <si>
    <t>Zoran Štefanić</t>
  </si>
  <si>
    <t>Zlatko Kraljević</t>
  </si>
  <si>
    <t>Zvonko Botić</t>
  </si>
  <si>
    <t>Marko Kutlić</t>
  </si>
  <si>
    <t>Redni broj A sektor</t>
  </si>
  <si>
    <t>Redni broj B sektor</t>
  </si>
  <si>
    <t>Redni broj C sektor</t>
  </si>
  <si>
    <t>Redni broj D sektor</t>
  </si>
  <si>
    <t>Redni broj E sektor</t>
  </si>
  <si>
    <t>Pojedin. plasman</t>
  </si>
  <si>
    <t>Tajnik:</t>
  </si>
  <si>
    <t>Tajnik :</t>
  </si>
  <si>
    <t>Tajnik natjecanja:</t>
  </si>
  <si>
    <t>Bengez Dražen</t>
  </si>
  <si>
    <t>Kazneni bod</t>
  </si>
  <si>
    <t>PROGLAŠENJE REZULTATA</t>
  </si>
  <si>
    <t>X</t>
  </si>
  <si>
    <t>HRVATSKI ŠPORTSKO</t>
  </si>
  <si>
    <t>RIBOLOVNI SAVEZ</t>
  </si>
  <si>
    <t>Jez Jasenovac</t>
  </si>
  <si>
    <t>Prilog-Lov ribe 1.</t>
  </si>
  <si>
    <t>Hrvatski športsko</t>
  </si>
  <si>
    <t xml:space="preserve">  ribolovni savez</t>
  </si>
  <si>
    <t xml:space="preserve">  RED. IZVLAČ.</t>
  </si>
  <si>
    <t/>
  </si>
  <si>
    <t>KADETI</t>
  </si>
  <si>
    <t>KADETKINJE</t>
  </si>
  <si>
    <t>JUNIORI</t>
  </si>
  <si>
    <t>JUNIORKE</t>
  </si>
  <si>
    <t>SENIORKE</t>
  </si>
  <si>
    <t>bacačke discipline -TROBOJ</t>
  </si>
  <si>
    <t>bacačke discipline-PETOBOJ</t>
  </si>
  <si>
    <t>Sveukupan ulov natjecatelja na natjecanju:</t>
  </si>
  <si>
    <t>Najveći pojedinačni ulov natjecatelja:</t>
  </si>
  <si>
    <t>Najmanji pojedinačni ulov natjecatelja:</t>
  </si>
  <si>
    <t>Prosječan ulov natjecatelja:</t>
  </si>
  <si>
    <t>Broj natjecatelja bez ulova:</t>
  </si>
  <si>
    <t>Ukupan ulov sektora:</t>
  </si>
  <si>
    <t xml:space="preserve">Najveći ulov: </t>
  </si>
  <si>
    <t>Najmanji ulov:</t>
  </si>
  <si>
    <t>Prosječan ulov:</t>
  </si>
  <si>
    <t>Broj natj. bez ulova:</t>
  </si>
  <si>
    <t>Natjecanje:</t>
  </si>
  <si>
    <t>Mjesto i vrijeme održavanja:</t>
  </si>
  <si>
    <t>Organizator:</t>
  </si>
  <si>
    <t>Domaćin:</t>
  </si>
  <si>
    <t>Natjecateljska staza:</t>
  </si>
  <si>
    <t>Sektor A</t>
  </si>
  <si>
    <t>R. br.</t>
  </si>
  <si>
    <t>Bodova (g)</t>
  </si>
  <si>
    <t>St.broj</t>
  </si>
  <si>
    <t>Plasman</t>
  </si>
  <si>
    <t>Sektor B</t>
  </si>
  <si>
    <t>Sektor C</t>
  </si>
  <si>
    <t>Sektor D</t>
  </si>
  <si>
    <t>Sektor E</t>
  </si>
  <si>
    <t>R.br.</t>
  </si>
  <si>
    <t>E k i p a</t>
  </si>
  <si>
    <t>Ukupna težina (g)</t>
  </si>
  <si>
    <t>Najveća poj. težina (g)</t>
  </si>
  <si>
    <t>Sektorski pl.</t>
  </si>
  <si>
    <t>St. broj</t>
  </si>
  <si>
    <t>Sekt.plas.</t>
  </si>
  <si>
    <t>Ukupna težina</t>
  </si>
  <si>
    <t>Najveća poj. tež.</t>
  </si>
  <si>
    <t xml:space="preserve">EKIPA                        </t>
  </si>
  <si>
    <t>Antun Kedmenec</t>
  </si>
  <si>
    <t>Pavao Umnik</t>
  </si>
  <si>
    <t xml:space="preserve">     Ekipa</t>
  </si>
  <si>
    <t>Marijan Kumić</t>
  </si>
  <si>
    <t>Mladen Meseš</t>
  </si>
  <si>
    <t>Siniša Finek</t>
  </si>
  <si>
    <t>Ivan Finek</t>
  </si>
  <si>
    <t>Zlatko Šapina</t>
  </si>
  <si>
    <t>predsjedavajući</t>
  </si>
  <si>
    <t>ŠRS Požeško slavonske županije</t>
  </si>
  <si>
    <t>KUP "BLJESAK"</t>
  </si>
  <si>
    <t>Jezero Raminac</t>
  </si>
  <si>
    <t>Lipik, 28.04.2009.g.</t>
  </si>
  <si>
    <t>Željko Ljevaković</t>
  </si>
  <si>
    <t>ŠRD Pakrac Pakrac</t>
  </si>
  <si>
    <t>AŽURIRANO:ožujak  2013.godine</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</si>
</sst>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0.0"/>
    <numFmt numFmtId="170" formatCode="00000\-0000"/>
    <numFmt numFmtId="171" formatCode="0.000000000"/>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quot;kn&quot;\ * #,##0.00_-;\-&quot;kn&quot;\ * #,##0.00_-;_-&quot;kn&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
    <numFmt numFmtId="195" formatCode="&quot;€&quot;\ #,##0;\-&quot;€&quot;\ #,##0"/>
    <numFmt numFmtId="196" formatCode="&quot;€&quot;\ #,##0;[Red]\-&quot;€&quot;\ #,##0"/>
    <numFmt numFmtId="197" formatCode="&quot;€&quot;\ #,##0.00;\-&quot;€&quot;\ #,##0.00"/>
    <numFmt numFmtId="198" formatCode="&quot;€&quot;\ #,##0.00;[Red]\-&quot;€&quot;\ #,##0.00"/>
    <numFmt numFmtId="199" formatCode="_-&quot;€&quot;\ * #,##0_-;\-&quot;€&quot;\ * #,##0_-;_-&quot;€&quot;\ * &quot;-&quot;_-;_-@_-"/>
    <numFmt numFmtId="200" formatCode="_-&quot;€&quot;\ * #,##0.00_-;\-&quot;€&quot;\ * #,##0.00_-;_-&quot;€&quot;\ * &quot;-&quot;??_-;_-@_-"/>
  </numFmts>
  <fonts count="100">
    <font>
      <sz val="10"/>
      <name val="Arial"/>
      <family val="0"/>
    </font>
    <font>
      <u val="single"/>
      <sz val="10"/>
      <color indexed="36"/>
      <name val="Arial"/>
      <family val="0"/>
    </font>
    <font>
      <u val="single"/>
      <sz val="10"/>
      <color indexed="12"/>
      <name val="Arial"/>
      <family val="0"/>
    </font>
    <font>
      <sz val="8"/>
      <name val="Arial"/>
      <family val="0"/>
    </font>
    <font>
      <sz val="10"/>
      <color indexed="13"/>
      <name val="Arial"/>
      <family val="0"/>
    </font>
    <font>
      <sz val="12"/>
      <color indexed="13"/>
      <name val="Arial"/>
      <family val="0"/>
    </font>
    <font>
      <b/>
      <sz val="8"/>
      <name val="Arial"/>
      <family val="2"/>
    </font>
    <font>
      <sz val="10"/>
      <color indexed="10"/>
      <name val="Arial"/>
      <family val="0"/>
    </font>
    <font>
      <u val="single"/>
      <sz val="10"/>
      <name val="Arial"/>
      <family val="0"/>
    </font>
    <font>
      <sz val="14"/>
      <name val="Arial"/>
      <family val="0"/>
    </font>
    <font>
      <u val="single"/>
      <sz val="12"/>
      <name val="Arial"/>
      <family val="0"/>
    </font>
    <font>
      <b/>
      <sz val="10"/>
      <name val="Arial"/>
      <family val="2"/>
    </font>
    <font>
      <sz val="12"/>
      <name val="Arial"/>
      <family val="0"/>
    </font>
    <font>
      <sz val="9"/>
      <name val="Arial"/>
      <family val="0"/>
    </font>
    <font>
      <b/>
      <u val="single"/>
      <sz val="10"/>
      <name val="Arial"/>
      <family val="2"/>
    </font>
    <font>
      <b/>
      <sz val="8"/>
      <name val="Tahoma"/>
      <family val="0"/>
    </font>
    <font>
      <sz val="8"/>
      <name val="Tahoma"/>
      <family val="0"/>
    </font>
    <font>
      <b/>
      <sz val="14"/>
      <name val="Arial"/>
      <family val="2"/>
    </font>
    <font>
      <b/>
      <sz val="12"/>
      <name val="Arial"/>
      <family val="2"/>
    </font>
    <font>
      <u val="single"/>
      <sz val="14"/>
      <name val="Arial"/>
      <family val="0"/>
    </font>
    <font>
      <sz val="16"/>
      <name val="Arial"/>
      <family val="0"/>
    </font>
    <font>
      <sz val="18"/>
      <name val="Arial"/>
      <family val="0"/>
    </font>
    <font>
      <b/>
      <sz val="16"/>
      <name val="Arial"/>
      <family val="2"/>
    </font>
    <font>
      <b/>
      <sz val="20"/>
      <name val="Arial"/>
      <family val="2"/>
    </font>
    <font>
      <sz val="22"/>
      <name val="Arial"/>
      <family val="0"/>
    </font>
    <font>
      <sz val="20"/>
      <name val="Arial"/>
      <family val="0"/>
    </font>
    <font>
      <b/>
      <sz val="18"/>
      <name val="Arial"/>
      <family val="0"/>
    </font>
    <font>
      <i/>
      <sz val="26"/>
      <name val="Arial"/>
      <family val="2"/>
    </font>
    <font>
      <sz val="26"/>
      <name val="Arial"/>
      <family val="2"/>
    </font>
    <font>
      <u val="single"/>
      <sz val="22"/>
      <name val="Arial"/>
      <family val="0"/>
    </font>
    <font>
      <b/>
      <u val="single"/>
      <sz val="12"/>
      <name val="Arial"/>
      <family val="2"/>
    </font>
    <font>
      <i/>
      <sz val="16"/>
      <name val="Arial"/>
      <family val="2"/>
    </font>
    <font>
      <b/>
      <sz val="28"/>
      <name val="Arial"/>
      <family val="2"/>
    </font>
    <font>
      <sz val="8"/>
      <color indexed="9"/>
      <name val="Arial"/>
      <family val="0"/>
    </font>
    <font>
      <b/>
      <u val="single"/>
      <sz val="18"/>
      <name val="Arial"/>
      <family val="2"/>
    </font>
    <font>
      <b/>
      <sz val="20"/>
      <name val="Arial Black"/>
      <family val="2"/>
    </font>
    <font>
      <b/>
      <sz val="14"/>
      <name val="Arial Black"/>
      <family val="2"/>
    </font>
    <font>
      <b/>
      <sz val="20"/>
      <color indexed="10"/>
      <name val="Arial"/>
      <family val="2"/>
    </font>
    <font>
      <sz val="8"/>
      <color indexed="10"/>
      <name val="Arial"/>
      <family val="0"/>
    </font>
    <font>
      <sz val="10"/>
      <name val="Tahoma"/>
      <family val="2"/>
    </font>
    <font>
      <b/>
      <sz val="10"/>
      <name val="Tahoma"/>
      <family val="2"/>
    </font>
    <font>
      <b/>
      <sz val="10"/>
      <color indexed="10"/>
      <name val="Arial"/>
      <family val="2"/>
    </font>
    <font>
      <sz val="8"/>
      <color indexed="10"/>
      <name val="Tahoma"/>
      <family val="2"/>
    </font>
    <font>
      <b/>
      <sz val="10"/>
      <color indexed="10"/>
      <name val="Tahoma"/>
      <family val="2"/>
    </font>
    <font>
      <u val="single"/>
      <sz val="9"/>
      <name val="Tahoma"/>
      <family val="2"/>
    </font>
    <font>
      <u val="single"/>
      <sz val="9"/>
      <color indexed="10"/>
      <name val="Tahoma"/>
      <family val="2"/>
    </font>
    <font>
      <u val="single"/>
      <sz val="10"/>
      <color indexed="10"/>
      <name val="Tahoma"/>
      <family val="2"/>
    </font>
    <font>
      <sz val="10"/>
      <color indexed="10"/>
      <name val="Tahoma"/>
      <family val="2"/>
    </font>
    <font>
      <sz val="9"/>
      <name val="Tahoma"/>
      <family val="2"/>
    </font>
    <font>
      <b/>
      <sz val="8"/>
      <color indexed="10"/>
      <name val="Arial"/>
      <family val="2"/>
    </font>
    <font>
      <b/>
      <sz val="12"/>
      <name val="Tahoma"/>
      <family val="2"/>
    </font>
    <font>
      <sz val="12"/>
      <name val="Tahoma"/>
      <family val="2"/>
    </font>
    <font>
      <b/>
      <sz val="18"/>
      <name val="Tahoma"/>
      <family val="2"/>
    </font>
    <font>
      <sz val="18"/>
      <name val="Tahoma"/>
      <family val="2"/>
    </font>
    <font>
      <sz val="12"/>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75"/>
      <color indexed="8"/>
      <name val="Arial"/>
      <family val="0"/>
    </font>
    <font>
      <b/>
      <sz val="8.75"/>
      <color indexed="8"/>
      <name val="Arial"/>
      <family val="0"/>
    </font>
    <font>
      <b/>
      <sz val="10.5"/>
      <color indexed="8"/>
      <name val="Arial"/>
      <family val="0"/>
    </font>
    <font>
      <sz val="8.05"/>
      <color indexed="8"/>
      <name val="Arial"/>
      <family val="0"/>
    </font>
    <font>
      <sz val="10"/>
      <color indexed="8"/>
      <name val="Arial"/>
      <family val="0"/>
    </font>
    <font>
      <b/>
      <sz val="10"/>
      <color indexed="8"/>
      <name val="Arial"/>
      <family val="0"/>
    </font>
    <font>
      <b/>
      <sz val="12"/>
      <color indexed="8"/>
      <name val="Arial"/>
      <family val="0"/>
    </font>
    <font>
      <sz val="9.2"/>
      <color indexed="8"/>
      <name val="Arial"/>
      <family val="0"/>
    </font>
    <font>
      <sz val="16"/>
      <color indexed="8"/>
      <name val="Arial"/>
      <family val="0"/>
    </font>
    <font>
      <sz val="16.25"/>
      <color indexed="8"/>
      <name val="Arial"/>
      <family val="0"/>
    </font>
    <font>
      <sz val="14.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double"/>
      <right style="double"/>
      <top style="double"/>
      <bottom style="double"/>
    </border>
    <border>
      <left style="double"/>
      <right style="double"/>
      <top>
        <color indexed="63"/>
      </top>
      <bottom style="double"/>
    </border>
    <border>
      <left style="medium"/>
      <right style="thin"/>
      <top style="medium"/>
      <bottom style="thin"/>
    </border>
    <border>
      <left style="thin"/>
      <right style="thin"/>
      <top style="medium"/>
      <bottom style="thin"/>
    </border>
    <border>
      <left>
        <color indexed="63"/>
      </left>
      <right>
        <color indexed="63"/>
      </right>
      <top style="thin"/>
      <bottom style="medium"/>
    </border>
    <border>
      <left style="thin"/>
      <right style="thin"/>
      <top style="thin"/>
      <bottom style="medium"/>
    </border>
    <border>
      <left style="thin"/>
      <right>
        <color indexed="63"/>
      </right>
      <top style="thin"/>
      <bottom>
        <color indexed="63"/>
      </bottom>
    </border>
    <border>
      <left>
        <color indexed="63"/>
      </left>
      <right style="thin"/>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0" fillId="0" borderId="0">
      <alignment/>
      <protection/>
    </xf>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535">
    <xf numFmtId="0" fontId="0" fillId="0" borderId="0" xfId="0" applyAlignment="1">
      <alignment/>
    </xf>
    <xf numFmtId="0" fontId="4" fillId="33" borderId="0" xfId="0" applyFont="1" applyFill="1" applyAlignment="1">
      <alignment/>
    </xf>
    <xf numFmtId="0" fontId="4" fillId="33" borderId="0" xfId="0" applyFont="1" applyFill="1" applyAlignment="1">
      <alignment horizontal="center" vertical="center"/>
    </xf>
    <xf numFmtId="0" fontId="5" fillId="33" borderId="0" xfId="0" applyFont="1" applyFill="1" applyAlignment="1">
      <alignment/>
    </xf>
    <xf numFmtId="0" fontId="4" fillId="33" borderId="0" xfId="0" applyFont="1" applyFill="1" applyAlignment="1">
      <alignment horizontal="center"/>
    </xf>
    <xf numFmtId="0" fontId="5" fillId="33" borderId="0" xfId="0" applyFont="1" applyFill="1" applyAlignment="1">
      <alignment horizontal="center"/>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Fill="1" applyAlignment="1" applyProtection="1">
      <alignment/>
      <protection hidden="1"/>
    </xf>
    <xf numFmtId="0" fontId="0" fillId="0" borderId="0" xfId="0" applyAlignment="1" applyProtection="1">
      <alignment/>
      <protection hidden="1" locked="0"/>
    </xf>
    <xf numFmtId="0" fontId="0" fillId="0" borderId="0" xfId="0" applyAlignment="1" applyProtection="1">
      <alignment/>
      <protection hidden="1" locked="0"/>
    </xf>
    <xf numFmtId="0" fontId="0" fillId="0" borderId="0" xfId="0" applyFont="1" applyAlignment="1" applyProtection="1">
      <alignment/>
      <protection hidden="1"/>
    </xf>
    <xf numFmtId="0" fontId="7" fillId="0" borderId="0" xfId="0" applyFont="1" applyAlignment="1" applyProtection="1">
      <alignment/>
      <protection hidden="1"/>
    </xf>
    <xf numFmtId="0" fontId="3" fillId="0" borderId="0" xfId="0" applyFont="1" applyAlignment="1">
      <alignment horizontal="center" vertical="center" wrapText="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ont="1" applyAlignment="1" applyProtection="1">
      <alignment/>
      <protection hidden="1"/>
    </xf>
    <xf numFmtId="0" fontId="0" fillId="0" borderId="0" xfId="0" applyAlignment="1" applyProtection="1">
      <alignment/>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hidden="1"/>
    </xf>
    <xf numFmtId="0" fontId="10" fillId="0" borderId="0" xfId="0" applyFont="1" applyAlignment="1" applyProtection="1">
      <alignment horizontal="center"/>
      <protection hidden="1"/>
    </xf>
    <xf numFmtId="0" fontId="0" fillId="0" borderId="0" xfId="0" applyFont="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0" xfId="0" applyAlignment="1" applyProtection="1" quotePrefix="1">
      <alignment/>
      <protection hidden="1"/>
    </xf>
    <xf numFmtId="0" fontId="12" fillId="0" borderId="0" xfId="0" applyFont="1" applyAlignment="1" applyProtection="1">
      <alignment horizontal="center"/>
      <protection hidden="1"/>
    </xf>
    <xf numFmtId="0" fontId="9" fillId="0" borderId="0" xfId="0" applyFont="1" applyAlignment="1" applyProtection="1">
      <alignment horizontal="center"/>
      <protection hidden="1"/>
    </xf>
    <xf numFmtId="0" fontId="11" fillId="0" borderId="0" xfId="0" applyFont="1" applyAlignment="1" applyProtection="1">
      <alignment/>
      <protection hidden="1"/>
    </xf>
    <xf numFmtId="0" fontId="13" fillId="0" borderId="16" xfId="0" applyFont="1" applyBorder="1" applyAlignment="1" applyProtection="1">
      <alignment/>
      <protection hidden="1"/>
    </xf>
    <xf numFmtId="0" fontId="13" fillId="0" borderId="16" xfId="0" applyFont="1" applyBorder="1" applyAlignment="1" applyProtection="1">
      <alignment horizontal="center"/>
      <protection hidden="1"/>
    </xf>
    <xf numFmtId="0" fontId="13" fillId="0" borderId="0" xfId="0" applyFont="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13" fillId="0" borderId="21" xfId="0" applyFont="1" applyBorder="1" applyAlignment="1" applyProtection="1">
      <alignment/>
      <protection hidden="1"/>
    </xf>
    <xf numFmtId="0" fontId="13" fillId="0" borderId="22" xfId="0" applyFont="1" applyBorder="1" applyAlignment="1" applyProtection="1">
      <alignment horizontal="center"/>
      <protection hidden="1"/>
    </xf>
    <xf numFmtId="0" fontId="13" fillId="0" borderId="23" xfId="0" applyFont="1" applyBorder="1" applyAlignment="1" applyProtection="1">
      <alignment/>
      <protection hidden="1"/>
    </xf>
    <xf numFmtId="0" fontId="13" fillId="0" borderId="22" xfId="0" applyFont="1" applyBorder="1" applyAlignment="1" applyProtection="1">
      <alignment/>
      <protection hidden="1"/>
    </xf>
    <xf numFmtId="0" fontId="0" fillId="0" borderId="0" xfId="0" applyBorder="1" applyAlignment="1" applyProtection="1">
      <alignment horizontal="right"/>
      <protection hidden="1"/>
    </xf>
    <xf numFmtId="0" fontId="0" fillId="0" borderId="0" xfId="0" applyAlignment="1" applyProtection="1" quotePrefix="1">
      <alignment horizontal="center"/>
      <protection hidden="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0" borderId="0" xfId="0" applyAlignment="1">
      <alignment horizontal="center" vertical="center" wrapText="1"/>
    </xf>
    <xf numFmtId="0" fontId="0" fillId="0" borderId="0" xfId="0" applyFont="1" applyFill="1" applyAlignment="1" applyProtection="1">
      <alignment horizontal="center" vertical="center"/>
      <protection locked="0"/>
    </xf>
    <xf numFmtId="0" fontId="0" fillId="0" borderId="0" xfId="0" applyFill="1" applyAlignment="1">
      <alignment horizontal="center"/>
    </xf>
    <xf numFmtId="0" fontId="11"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11"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horizontal="center"/>
      <protection hidden="1" locked="0"/>
    </xf>
    <xf numFmtId="0" fontId="0" fillId="0" borderId="0" xfId="0" applyFont="1" applyAlignment="1" applyProtection="1">
      <alignment horizontal="center"/>
      <protection hidden="1"/>
    </xf>
    <xf numFmtId="0" fontId="11" fillId="0" borderId="0" xfId="0" applyFont="1" applyAlignment="1">
      <alignment/>
    </xf>
    <xf numFmtId="9" fontId="0" fillId="0" borderId="0" xfId="60" applyAlignment="1">
      <alignment/>
    </xf>
    <xf numFmtId="0" fontId="0" fillId="0" borderId="0" xfId="0" applyFont="1" applyAlignment="1" applyProtection="1">
      <alignment horizontal="left" vertical="center"/>
      <protection hidden="1"/>
    </xf>
    <xf numFmtId="0" fontId="0" fillId="0" borderId="0" xfId="0" applyFont="1" applyAlignment="1" applyProtection="1">
      <alignment horizontal="center" vertical="center" wrapText="1"/>
      <protection hidden="1"/>
    </xf>
    <xf numFmtId="3" fontId="11" fillId="0" borderId="0" xfId="0" applyNumberFormat="1" applyFont="1" applyAlignment="1" applyProtection="1">
      <alignment/>
      <protection hidden="1"/>
    </xf>
    <xf numFmtId="3" fontId="0" fillId="0" borderId="0" xfId="0" applyNumberFormat="1" applyAlignment="1" applyProtection="1">
      <alignment/>
      <protection hidden="1"/>
    </xf>
    <xf numFmtId="0" fontId="12" fillId="0" borderId="0" xfId="0" applyFont="1" applyAlignment="1" applyProtection="1">
      <alignment/>
      <protection hidden="1"/>
    </xf>
    <xf numFmtId="0" fontId="12" fillId="0" borderId="16" xfId="0" applyFont="1" applyBorder="1" applyAlignment="1" applyProtection="1">
      <alignment/>
      <protection hidden="1"/>
    </xf>
    <xf numFmtId="0" fontId="0" fillId="0" borderId="0" xfId="0" applyFont="1" applyFill="1" applyAlignment="1" applyProtection="1">
      <alignment horizontal="center"/>
      <protection hidden="1"/>
    </xf>
    <xf numFmtId="0" fontId="12" fillId="0" borderId="0" xfId="0" applyFont="1" applyFill="1" applyBorder="1" applyAlignment="1" applyProtection="1">
      <alignment/>
      <protection hidden="1"/>
    </xf>
    <xf numFmtId="0" fontId="3" fillId="0" borderId="0" xfId="0" applyFont="1" applyAlignment="1" applyProtection="1">
      <alignment/>
      <protection hidden="1"/>
    </xf>
    <xf numFmtId="0" fontId="0" fillId="0" borderId="0" xfId="0" applyFont="1" applyFill="1" applyAlignment="1" applyProtection="1">
      <alignment/>
      <protection hidden="1"/>
    </xf>
    <xf numFmtId="0" fontId="3"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3" fillId="0" borderId="0" xfId="0" applyFont="1" applyFill="1" applyAlignment="1" applyProtection="1">
      <alignment/>
      <protection/>
    </xf>
    <xf numFmtId="0" fontId="11" fillId="0" borderId="0" xfId="0" applyFont="1" applyAlignment="1">
      <alignment horizontal="center"/>
    </xf>
    <xf numFmtId="0" fontId="11" fillId="0" borderId="0" xfId="0" applyFont="1" applyAlignment="1">
      <alignment horizontal="center" vertical="center"/>
    </xf>
    <xf numFmtId="0" fontId="17" fillId="0" borderId="0" xfId="0" applyFont="1" applyAlignment="1" applyProtection="1">
      <alignment horizontal="left"/>
      <protection hidden="1"/>
    </xf>
    <xf numFmtId="0" fontId="17" fillId="0" borderId="0" xfId="0" applyFont="1" applyAlignment="1" applyProtection="1">
      <alignment/>
      <protection hidden="1"/>
    </xf>
    <xf numFmtId="0" fontId="17" fillId="0" borderId="0" xfId="0" applyFont="1" applyAlignment="1" applyProtection="1">
      <alignment horizontal="center"/>
      <protection hidden="1"/>
    </xf>
    <xf numFmtId="0" fontId="0" fillId="0" borderId="0" xfId="0" applyFont="1" applyAlignment="1" applyProtection="1">
      <alignment/>
      <protection hidden="1"/>
    </xf>
    <xf numFmtId="0" fontId="18" fillId="0" borderId="0" xfId="0" applyFont="1" applyAlignment="1" applyProtection="1">
      <alignment/>
      <protection hidden="1"/>
    </xf>
    <xf numFmtId="0" fontId="0" fillId="0" borderId="16" xfId="0"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8" fillId="0" borderId="21" xfId="0" applyFont="1" applyBorder="1" applyAlignment="1" applyProtection="1">
      <alignment horizontal="center"/>
      <protection hidden="1"/>
    </xf>
    <xf numFmtId="0" fontId="12" fillId="0" borderId="16" xfId="0" applyFont="1" applyBorder="1" applyAlignment="1" applyProtection="1">
      <alignment/>
      <protection hidden="1"/>
    </xf>
    <xf numFmtId="0" fontId="12" fillId="0" borderId="19" xfId="0" applyFont="1" applyBorder="1" applyAlignment="1" applyProtection="1">
      <alignment horizontal="center"/>
      <protection hidden="1"/>
    </xf>
    <xf numFmtId="0" fontId="12" fillId="0" borderId="0" xfId="0" applyFont="1" applyBorder="1" applyAlignment="1" applyProtection="1">
      <alignment/>
      <protection hidden="1"/>
    </xf>
    <xf numFmtId="0" fontId="12" fillId="0" borderId="12" xfId="0" applyFont="1" applyBorder="1" applyAlignment="1" applyProtection="1">
      <alignment/>
      <protection hidden="1"/>
    </xf>
    <xf numFmtId="0" fontId="12" fillId="0" borderId="12" xfId="0" applyFont="1" applyBorder="1" applyAlignment="1" applyProtection="1">
      <alignment horizontal="center"/>
      <protection hidden="1"/>
    </xf>
    <xf numFmtId="0" fontId="24" fillId="0" borderId="0" xfId="0" applyFont="1" applyAlignment="1" applyProtection="1">
      <alignment horizontal="center"/>
      <protection hidden="1"/>
    </xf>
    <xf numFmtId="0" fontId="21" fillId="0" borderId="13" xfId="0" applyFont="1" applyBorder="1" applyAlignment="1" applyProtection="1">
      <alignment horizontal="justify" vertical="center"/>
      <protection hidden="1"/>
    </xf>
    <xf numFmtId="0" fontId="20" fillId="0" borderId="20" xfId="0" applyFont="1" applyFill="1" applyBorder="1" applyAlignment="1" applyProtection="1">
      <alignment horizontal="center" vertical="center"/>
      <protection hidden="1"/>
    </xf>
    <xf numFmtId="0" fontId="18" fillId="0" borderId="0"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0" fillId="0" borderId="0" xfId="0" applyFont="1" applyAlignment="1" applyProtection="1">
      <alignment horizontal="center"/>
      <protection hidden="1"/>
    </xf>
    <xf numFmtId="0" fontId="0" fillId="0" borderId="0" xfId="0" applyFill="1" applyAlignment="1" applyProtection="1">
      <alignment horizontal="center" vertical="center" wrapText="1"/>
      <protection hidden="1"/>
    </xf>
    <xf numFmtId="0" fontId="27" fillId="0" borderId="0" xfId="0" applyFont="1" applyFill="1" applyBorder="1" applyAlignment="1" applyProtection="1">
      <alignment horizontal="center"/>
      <protection hidden="1"/>
    </xf>
    <xf numFmtId="0" fontId="28" fillId="0" borderId="0" xfId="0" applyFont="1" applyAlignment="1" applyProtection="1">
      <alignment/>
      <protection hidden="1"/>
    </xf>
    <xf numFmtId="0" fontId="28" fillId="0" borderId="0" xfId="0" applyFont="1" applyFill="1" applyBorder="1" applyAlignment="1" applyProtection="1">
      <alignment/>
      <protection hidden="1"/>
    </xf>
    <xf numFmtId="0" fontId="28" fillId="0" borderId="0" xfId="0" applyFont="1" applyBorder="1" applyAlignment="1" applyProtection="1">
      <alignment/>
      <protection hidden="1"/>
    </xf>
    <xf numFmtId="0" fontId="18" fillId="0" borderId="0" xfId="0" applyFont="1" applyAlignment="1" applyProtection="1">
      <alignment horizontal="center"/>
      <protection hidden="1"/>
    </xf>
    <xf numFmtId="0" fontId="12" fillId="0" borderId="16" xfId="0" applyFont="1" applyBorder="1" applyAlignment="1" applyProtection="1">
      <alignment horizontal="center"/>
      <protection hidden="1"/>
    </xf>
    <xf numFmtId="0" fontId="22" fillId="0" borderId="0" xfId="0" applyFont="1" applyAlignment="1" applyProtection="1">
      <alignment horizontal="left"/>
      <protection hidden="1"/>
    </xf>
    <xf numFmtId="0" fontId="22" fillId="0" borderId="0" xfId="0" applyFont="1" applyAlignment="1" applyProtection="1">
      <alignment/>
      <protection hidden="1"/>
    </xf>
    <xf numFmtId="0" fontId="22" fillId="0" borderId="0" xfId="0" applyFont="1" applyAlignment="1" applyProtection="1">
      <alignment horizontal="center"/>
      <protection hidden="1"/>
    </xf>
    <xf numFmtId="0" fontId="20" fillId="0" borderId="0" xfId="0" applyFont="1" applyAlignment="1" applyProtection="1">
      <alignment/>
      <protection hidden="1"/>
    </xf>
    <xf numFmtId="0" fontId="9" fillId="0" borderId="0" xfId="0" applyFont="1" applyAlignment="1" applyProtection="1">
      <alignment/>
      <protection hidden="1"/>
    </xf>
    <xf numFmtId="0" fontId="17" fillId="0" borderId="0" xfId="0" applyFont="1" applyAlignment="1" applyProtection="1">
      <alignment/>
      <protection hidden="1"/>
    </xf>
    <xf numFmtId="0" fontId="20" fillId="0" borderId="20" xfId="0" applyFont="1" applyFill="1" applyBorder="1" applyAlignment="1" applyProtection="1">
      <alignment horizontal="right" vertical="center"/>
      <protection hidden="1"/>
    </xf>
    <xf numFmtId="0" fontId="20" fillId="0" borderId="13" xfId="0" applyFont="1" applyFill="1" applyBorder="1" applyAlignment="1" applyProtection="1">
      <alignment horizontal="right" vertical="center"/>
      <protection hidden="1"/>
    </xf>
    <xf numFmtId="0" fontId="29" fillId="0" borderId="0" xfId="0" applyFont="1" applyAlignment="1" applyProtection="1">
      <alignment horizontal="center"/>
      <protection hidden="1"/>
    </xf>
    <xf numFmtId="0" fontId="24" fillId="0" borderId="0" xfId="0" applyFont="1" applyAlignment="1" applyProtection="1">
      <alignment/>
      <protection hidden="1"/>
    </xf>
    <xf numFmtId="0" fontId="25" fillId="0" borderId="0" xfId="0" applyFont="1" applyAlignment="1" applyProtection="1">
      <alignment/>
      <protection hidden="1"/>
    </xf>
    <xf numFmtId="0" fontId="20" fillId="0" borderId="24" xfId="0" applyFont="1" applyFill="1" applyBorder="1" applyAlignment="1" applyProtection="1">
      <alignment horizontal="right" vertical="center"/>
      <protection hidden="1"/>
    </xf>
    <xf numFmtId="0" fontId="12" fillId="0" borderId="22" xfId="0" applyFont="1" applyFill="1" applyBorder="1" applyAlignment="1" applyProtection="1">
      <alignment/>
      <protection hidden="1"/>
    </xf>
    <xf numFmtId="0" fontId="12" fillId="0" borderId="16" xfId="0" applyFont="1" applyBorder="1" applyAlignment="1" applyProtection="1">
      <alignment horizontal="right"/>
      <protection hidden="1"/>
    </xf>
    <xf numFmtId="0" fontId="12" fillId="0" borderId="0" xfId="0" applyFont="1" applyAlignment="1" applyProtection="1">
      <alignment/>
      <protection hidden="1"/>
    </xf>
    <xf numFmtId="169" fontId="18" fillId="0" borderId="0" xfId="0" applyNumberFormat="1" applyFont="1" applyAlignment="1" applyProtection="1">
      <alignment/>
      <protection hidden="1"/>
    </xf>
    <xf numFmtId="0" fontId="0" fillId="0" borderId="15" xfId="0" applyFill="1" applyBorder="1" applyAlignment="1" applyProtection="1">
      <alignment/>
      <protection hidden="1"/>
    </xf>
    <xf numFmtId="0" fontId="0" fillId="0" borderId="0" xfId="0" applyAlignment="1" applyProtection="1">
      <alignment horizontal="center"/>
      <protection hidden="1" locked="0"/>
    </xf>
    <xf numFmtId="0" fontId="18" fillId="0" borderId="0" xfId="0" applyFont="1" applyAlignment="1" applyProtection="1">
      <alignment horizontal="right"/>
      <protection hidden="1"/>
    </xf>
    <xf numFmtId="0" fontId="12" fillId="0" borderId="16" xfId="0" applyFont="1" applyBorder="1" applyAlignment="1" applyProtection="1">
      <alignment horizontal="right"/>
      <protection hidden="1"/>
    </xf>
    <xf numFmtId="0" fontId="12" fillId="0" borderId="0" xfId="0" applyFont="1" applyAlignment="1" applyProtection="1">
      <alignment horizontal="right"/>
      <protection hidden="1"/>
    </xf>
    <xf numFmtId="0" fontId="12" fillId="0" borderId="0" xfId="0" applyFont="1" applyAlignment="1" applyProtection="1">
      <alignment horizontal="center"/>
      <protection hidden="1"/>
    </xf>
    <xf numFmtId="0" fontId="31" fillId="0" borderId="0" xfId="0" applyFont="1" applyFill="1" applyBorder="1" applyAlignment="1" applyProtection="1">
      <alignment horizontal="center"/>
      <protection hidden="1"/>
    </xf>
    <xf numFmtId="0" fontId="20" fillId="0" borderId="0" xfId="0" applyFont="1" applyFill="1" applyBorder="1" applyAlignment="1" applyProtection="1">
      <alignment/>
      <protection hidden="1"/>
    </xf>
    <xf numFmtId="0" fontId="20" fillId="0" borderId="0" xfId="0" applyFont="1" applyAlignment="1" applyProtection="1">
      <alignment horizontal="center"/>
      <protection hidden="1"/>
    </xf>
    <xf numFmtId="0" fontId="20" fillId="0" borderId="0" xfId="0" applyFont="1" applyAlignment="1" applyProtection="1">
      <alignment/>
      <protection hidden="1"/>
    </xf>
    <xf numFmtId="0" fontId="17" fillId="34" borderId="16" xfId="0" applyFont="1" applyFill="1" applyBorder="1" applyAlignment="1" applyProtection="1">
      <alignment horizontal="right"/>
      <protection hidden="1"/>
    </xf>
    <xf numFmtId="0" fontId="0" fillId="0" borderId="0" xfId="0" applyFont="1" applyFill="1" applyAlignment="1" applyProtection="1">
      <alignment horizontal="center" vertical="center" wrapText="1"/>
      <protection locked="0"/>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32" fillId="0" borderId="0" xfId="0" applyFont="1" applyAlignment="1" applyProtection="1">
      <alignment horizontal="center"/>
      <protection hidden="1"/>
    </xf>
    <xf numFmtId="0" fontId="29" fillId="0" borderId="0" xfId="0" applyFont="1" applyAlignment="1" applyProtection="1">
      <alignment horizontal="center"/>
      <protection hidden="1"/>
    </xf>
    <xf numFmtId="0" fontId="34" fillId="0" borderId="0" xfId="0" applyFont="1" applyAlignment="1" applyProtection="1">
      <alignment horizontal="left"/>
      <protection hidden="1"/>
    </xf>
    <xf numFmtId="0" fontId="0" fillId="35" borderId="22" xfId="0" applyFill="1" applyBorder="1" applyAlignment="1" applyProtection="1">
      <alignment horizontal="center" vertical="center"/>
      <protection hidden="1"/>
    </xf>
    <xf numFmtId="0" fontId="6" fillId="35" borderId="22" xfId="0" applyFont="1" applyFill="1" applyBorder="1" applyAlignment="1" applyProtection="1">
      <alignment horizontal="center" vertical="center" wrapText="1"/>
      <protection/>
    </xf>
    <xf numFmtId="0" fontId="7" fillId="35" borderId="0" xfId="0" applyFont="1" applyFill="1" applyAlignment="1">
      <alignment horizontal="center"/>
    </xf>
    <xf numFmtId="0" fontId="35" fillId="0" borderId="0" xfId="0" applyFont="1" applyAlignment="1" applyProtection="1">
      <alignment horizontal="center"/>
      <protection hidden="1"/>
    </xf>
    <xf numFmtId="0" fontId="36" fillId="0" borderId="0" xfId="0" applyFont="1" applyAlignment="1" applyProtection="1">
      <alignment horizontal="center"/>
      <protection hidden="1"/>
    </xf>
    <xf numFmtId="0" fontId="0" fillId="35" borderId="22" xfId="0" applyFill="1" applyBorder="1" applyAlignment="1" applyProtection="1">
      <alignment horizontal="center" vertical="center" wrapText="1"/>
      <protection/>
    </xf>
    <xf numFmtId="0" fontId="0" fillId="35" borderId="22" xfId="0" applyFill="1" applyBorder="1" applyAlignment="1" applyProtection="1">
      <alignment horizontal="center" vertical="center" wrapText="1"/>
      <protection hidden="1"/>
    </xf>
    <xf numFmtId="0" fontId="20" fillId="0" borderId="25" xfId="0" applyFont="1" applyFill="1" applyBorder="1" applyAlignment="1" applyProtection="1">
      <alignment horizontal="center" vertical="center"/>
      <protection hidden="1"/>
    </xf>
    <xf numFmtId="0" fontId="23" fillId="0" borderId="24" xfId="0" applyFont="1" applyFill="1" applyBorder="1" applyAlignment="1" applyProtection="1">
      <alignment horizontal="center" vertical="center"/>
      <protection hidden="1"/>
    </xf>
    <xf numFmtId="0" fontId="20" fillId="0" borderId="26" xfId="0" applyFont="1" applyFill="1" applyBorder="1" applyAlignment="1" applyProtection="1">
      <alignment horizontal="center" vertical="center"/>
      <protection hidden="1"/>
    </xf>
    <xf numFmtId="0" fontId="20" fillId="0" borderId="26" xfId="0" applyFont="1" applyFill="1" applyBorder="1" applyAlignment="1" applyProtection="1">
      <alignment horizontal="right" vertical="center"/>
      <protection hidden="1"/>
    </xf>
    <xf numFmtId="0" fontId="21" fillId="0" borderId="27" xfId="0" applyFont="1" applyBorder="1" applyAlignment="1" applyProtection="1">
      <alignment horizontal="justify" vertical="center"/>
      <protection hidden="1"/>
    </xf>
    <xf numFmtId="0" fontId="20" fillId="0" borderId="27" xfId="0" applyFont="1" applyFill="1" applyBorder="1" applyAlignment="1" applyProtection="1">
      <alignment horizontal="right" vertical="center"/>
      <protection hidden="1"/>
    </xf>
    <xf numFmtId="0" fontId="20" fillId="0" borderId="28" xfId="0" applyFont="1" applyFill="1" applyBorder="1" applyAlignment="1" applyProtection="1">
      <alignment horizontal="right" vertical="center"/>
      <protection hidden="1"/>
    </xf>
    <xf numFmtId="0" fontId="23" fillId="0" borderId="28" xfId="0" applyFont="1" applyFill="1" applyBorder="1" applyAlignment="1" applyProtection="1">
      <alignment horizontal="center" vertical="center"/>
      <protection hidden="1"/>
    </xf>
    <xf numFmtId="0" fontId="20" fillId="0" borderId="15" xfId="0" applyFont="1" applyFill="1" applyBorder="1" applyAlignment="1" applyProtection="1">
      <alignment horizontal="right" vertical="center"/>
      <protection hidden="1"/>
    </xf>
    <xf numFmtId="0" fontId="20" fillId="0" borderId="29" xfId="0" applyFont="1" applyFill="1" applyBorder="1" applyAlignment="1" applyProtection="1">
      <alignment horizontal="right" vertical="center"/>
      <protection hidden="1"/>
    </xf>
    <xf numFmtId="0" fontId="21" fillId="0" borderId="25" xfId="0" applyFont="1" applyBorder="1" applyAlignment="1" applyProtection="1">
      <alignment horizontal="justify" vertical="center"/>
      <protection hidden="1"/>
    </xf>
    <xf numFmtId="0" fontId="20" fillId="0" borderId="30" xfId="0" applyFont="1" applyFill="1" applyBorder="1" applyAlignment="1" applyProtection="1">
      <alignment horizontal="right" vertical="center"/>
      <protection hidden="1"/>
    </xf>
    <xf numFmtId="0" fontId="21" fillId="0" borderId="31" xfId="0" applyFont="1" applyBorder="1" applyAlignment="1" applyProtection="1">
      <alignment horizontal="justify" vertical="center"/>
      <protection hidden="1"/>
    </xf>
    <xf numFmtId="0" fontId="20" fillId="0" borderId="32" xfId="0" applyFont="1" applyFill="1" applyBorder="1" applyAlignment="1" applyProtection="1">
      <alignment horizontal="right" vertical="center"/>
      <protection hidden="1"/>
    </xf>
    <xf numFmtId="0" fontId="21" fillId="0" borderId="21" xfId="0" applyFont="1" applyBorder="1" applyAlignment="1" applyProtection="1">
      <alignment horizontal="justify" vertical="center"/>
      <protection hidden="1"/>
    </xf>
    <xf numFmtId="0" fontId="21" fillId="0" borderId="33" xfId="0" applyFont="1" applyBorder="1" applyAlignment="1" applyProtection="1">
      <alignment horizontal="justify" vertical="center"/>
      <protection hidden="1"/>
    </xf>
    <xf numFmtId="0" fontId="21" fillId="0" borderId="34" xfId="0" applyNumberFormat="1" applyFont="1" applyBorder="1" applyAlignment="1" applyProtection="1">
      <alignment horizontal="justify" vertical="center"/>
      <protection hidden="1"/>
    </xf>
    <xf numFmtId="0" fontId="21" fillId="0" borderId="35" xfId="0" applyNumberFormat="1" applyFont="1" applyBorder="1" applyAlignment="1" applyProtection="1">
      <alignment horizontal="justify" vertical="center"/>
      <protection hidden="1"/>
    </xf>
    <xf numFmtId="0" fontId="21" fillId="0" borderId="14" xfId="0" applyFont="1" applyBorder="1" applyAlignment="1" applyProtection="1">
      <alignment horizontal="justify" vertical="center"/>
      <protection hidden="1"/>
    </xf>
    <xf numFmtId="0" fontId="21" fillId="0" borderId="25" xfId="0" applyNumberFormat="1" applyFont="1" applyBorder="1" applyAlignment="1" applyProtection="1">
      <alignment horizontal="justify" vertical="center"/>
      <protection hidden="1"/>
    </xf>
    <xf numFmtId="0" fontId="0" fillId="0" borderId="36"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18" fillId="0" borderId="33" xfId="0" applyFont="1" applyBorder="1" applyAlignment="1" applyProtection="1">
      <alignment horizontal="center"/>
      <protection hidden="1"/>
    </xf>
    <xf numFmtId="0" fontId="20" fillId="36" borderId="38" xfId="0" applyFont="1" applyFill="1" applyBorder="1" applyAlignment="1" applyProtection="1">
      <alignment horizontal="center" vertical="center" shrinkToFit="1"/>
      <protection locked="0"/>
    </xf>
    <xf numFmtId="0" fontId="12" fillId="36" borderId="38" xfId="0" applyFont="1" applyFill="1" applyBorder="1" applyAlignment="1" applyProtection="1">
      <alignment horizontal="center" vertical="center" shrinkToFit="1"/>
      <protection locked="0"/>
    </xf>
    <xf numFmtId="0" fontId="12" fillId="36" borderId="39" xfId="0" applyFont="1" applyFill="1" applyBorder="1" applyAlignment="1" applyProtection="1">
      <alignment horizontal="center" vertical="center" shrinkToFit="1"/>
      <protection locked="0"/>
    </xf>
    <xf numFmtId="0" fontId="6" fillId="35" borderId="22" xfId="0" applyFont="1" applyFill="1" applyBorder="1" applyAlignment="1" applyProtection="1">
      <alignment horizontal="left" vertical="center" wrapText="1"/>
      <protection/>
    </xf>
    <xf numFmtId="0" fontId="6" fillId="37" borderId="22" xfId="0" applyFont="1" applyFill="1" applyBorder="1" applyAlignment="1" applyProtection="1">
      <alignment horizontal="center" vertical="center" wrapText="1"/>
      <protection/>
    </xf>
    <xf numFmtId="0" fontId="0" fillId="0" borderId="0" xfId="0" applyAlignment="1">
      <alignment vertical="center" wrapText="1"/>
    </xf>
    <xf numFmtId="0" fontId="22" fillId="0" borderId="0" xfId="0" applyFont="1" applyAlignment="1" applyProtection="1">
      <alignment/>
      <protection hidden="1"/>
    </xf>
    <xf numFmtId="0" fontId="17" fillId="0" borderId="0" xfId="0" applyFont="1" applyAlignment="1" applyProtection="1">
      <alignment horizontal="right"/>
      <protection hidden="1"/>
    </xf>
    <xf numFmtId="0" fontId="9" fillId="0" borderId="40" xfId="0" applyFont="1" applyBorder="1" applyAlignment="1" applyProtection="1">
      <alignment horizontal="center" vertical="center" shrinkToFit="1"/>
      <protection hidden="1"/>
    </xf>
    <xf numFmtId="0" fontId="9" fillId="0" borderId="41" xfId="0" applyFont="1" applyBorder="1" applyAlignment="1" applyProtection="1">
      <alignment horizontal="left" vertical="center" shrinkToFit="1"/>
      <protection hidden="1"/>
    </xf>
    <xf numFmtId="0" fontId="9" fillId="0" borderId="41" xfId="0" applyFont="1" applyBorder="1" applyAlignment="1" applyProtection="1">
      <alignment horizontal="center" vertical="center" shrinkToFit="1"/>
      <protection hidden="1"/>
    </xf>
    <xf numFmtId="0" fontId="9" fillId="0" borderId="41" xfId="0" applyFont="1" applyBorder="1" applyAlignment="1" applyProtection="1">
      <alignment vertical="center" shrinkToFit="1"/>
      <protection hidden="1"/>
    </xf>
    <xf numFmtId="0" fontId="9" fillId="0" borderId="41" xfId="0" applyFont="1" applyBorder="1" applyAlignment="1" applyProtection="1">
      <alignment horizontal="right" vertical="center" shrinkToFit="1"/>
      <protection hidden="1"/>
    </xf>
    <xf numFmtId="0" fontId="9" fillId="0" borderId="34" xfId="0" applyFont="1" applyBorder="1" applyAlignment="1" applyProtection="1">
      <alignment horizontal="center" vertical="center" shrinkToFit="1"/>
      <protection hidden="1"/>
    </xf>
    <xf numFmtId="0" fontId="9" fillId="0" borderId="16" xfId="0" applyFont="1" applyBorder="1" applyAlignment="1" applyProtection="1">
      <alignment horizontal="left" vertical="center" shrinkToFit="1"/>
      <protection hidden="1"/>
    </xf>
    <xf numFmtId="0" fontId="9" fillId="0" borderId="16" xfId="0" applyFont="1" applyBorder="1" applyAlignment="1" applyProtection="1">
      <alignment horizontal="center" vertical="center" shrinkToFit="1"/>
      <protection hidden="1"/>
    </xf>
    <xf numFmtId="0" fontId="9" fillId="0" borderId="16" xfId="0" applyFont="1" applyBorder="1" applyAlignment="1" applyProtection="1">
      <alignment vertical="center" shrinkToFit="1"/>
      <protection hidden="1"/>
    </xf>
    <xf numFmtId="0" fontId="9" fillId="0" borderId="16" xfId="0" applyFont="1" applyBorder="1" applyAlignment="1" applyProtection="1">
      <alignment horizontal="right" vertical="center" shrinkToFit="1"/>
      <protection hidden="1"/>
    </xf>
    <xf numFmtId="0" fontId="9" fillId="0" borderId="42" xfId="0" applyFont="1" applyFill="1" applyBorder="1" applyAlignment="1" applyProtection="1">
      <alignment vertical="center" shrinkToFit="1"/>
      <protection hidden="1"/>
    </xf>
    <xf numFmtId="0" fontId="20" fillId="0" borderId="0" xfId="0" applyFont="1" applyAlignment="1" applyProtection="1">
      <alignment horizontal="center"/>
      <protection hidden="1"/>
    </xf>
    <xf numFmtId="0" fontId="12" fillId="0" borderId="37" xfId="0" applyFont="1" applyBorder="1" applyAlignment="1" applyProtection="1">
      <alignment horizontal="center" vertical="center" wrapText="1"/>
      <protection hidden="1"/>
    </xf>
    <xf numFmtId="0" fontId="23" fillId="0" borderId="0" xfId="0" applyFont="1" applyAlignment="1" applyProtection="1">
      <alignment horizontal="center"/>
      <protection hidden="1"/>
    </xf>
    <xf numFmtId="0" fontId="49" fillId="37" borderId="22" xfId="0" applyFont="1" applyFill="1" applyBorder="1" applyAlignment="1" applyProtection="1">
      <alignment horizontal="center" vertical="center" wrapText="1"/>
      <protection/>
    </xf>
    <xf numFmtId="0" fontId="11" fillId="35" borderId="22" xfId="0" applyFont="1" applyFill="1" applyBorder="1" applyAlignment="1" applyProtection="1">
      <alignment horizontal="center" vertical="center" wrapText="1"/>
      <protection hidden="1"/>
    </xf>
    <xf numFmtId="0" fontId="0" fillId="35" borderId="22" xfId="0" applyFill="1" applyBorder="1" applyAlignment="1" applyProtection="1">
      <alignment/>
      <protection hidden="1"/>
    </xf>
    <xf numFmtId="0" fontId="12" fillId="0" borderId="0" xfId="0" applyFont="1" applyAlignment="1" applyProtection="1">
      <alignment/>
      <protection hidden="1"/>
    </xf>
    <xf numFmtId="0" fontId="20" fillId="0" borderId="43" xfId="0" applyFont="1" applyFill="1" applyBorder="1" applyAlignment="1" applyProtection="1">
      <alignment horizontal="right" vertical="center"/>
      <protection hidden="1"/>
    </xf>
    <xf numFmtId="0" fontId="0" fillId="0" borderId="0" xfId="58" applyProtection="1">
      <alignment/>
      <protection hidden="1"/>
    </xf>
    <xf numFmtId="0" fontId="0" fillId="0" borderId="0" xfId="58" applyAlignment="1" applyProtection="1">
      <alignment/>
      <protection hidden="1"/>
    </xf>
    <xf numFmtId="0" fontId="0" fillId="0" borderId="0" xfId="58" applyAlignment="1" applyProtection="1">
      <alignment horizontal="center"/>
      <protection hidden="1"/>
    </xf>
    <xf numFmtId="0" fontId="0" fillId="0" borderId="0" xfId="58">
      <alignment/>
      <protection/>
    </xf>
    <xf numFmtId="0" fontId="0" fillId="0" borderId="0" xfId="58" applyAlignment="1" applyProtection="1">
      <alignment horizontal="left"/>
      <protection hidden="1"/>
    </xf>
    <xf numFmtId="0" fontId="3" fillId="0" borderId="0" xfId="58" applyFont="1" applyAlignment="1" applyProtection="1">
      <alignment horizontal="center"/>
      <protection hidden="1"/>
    </xf>
    <xf numFmtId="0" fontId="0" fillId="0" borderId="0" xfId="58" applyFill="1" applyProtection="1">
      <alignment/>
      <protection hidden="1"/>
    </xf>
    <xf numFmtId="0" fontId="11" fillId="0" borderId="0" xfId="58" applyFont="1" applyProtection="1">
      <alignment/>
      <protection hidden="1"/>
    </xf>
    <xf numFmtId="0" fontId="11" fillId="0" borderId="0" xfId="58" applyFont="1" applyAlignment="1" applyProtection="1">
      <alignment/>
      <protection hidden="1"/>
    </xf>
    <xf numFmtId="0" fontId="11" fillId="0" borderId="0" xfId="58" applyFont="1">
      <alignment/>
      <protection/>
    </xf>
    <xf numFmtId="0" fontId="17" fillId="0" borderId="0" xfId="58" applyFont="1" applyAlignment="1" applyProtection="1">
      <alignment horizontal="center"/>
      <protection hidden="1"/>
    </xf>
    <xf numFmtId="0" fontId="0" fillId="0" borderId="16" xfId="58" applyBorder="1" applyAlignment="1" applyProtection="1">
      <alignment horizontal="center" vertical="center"/>
      <protection hidden="1"/>
    </xf>
    <xf numFmtId="0" fontId="0" fillId="0" borderId="0" xfId="58" applyAlignment="1">
      <alignment horizontal="center" vertical="center"/>
      <protection/>
    </xf>
    <xf numFmtId="0" fontId="0" fillId="0" borderId="16" xfId="58" applyBorder="1" applyAlignment="1" applyProtection="1">
      <alignment horizontal="center"/>
      <protection hidden="1"/>
    </xf>
    <xf numFmtId="0" fontId="0" fillId="0" borderId="15" xfId="58" applyBorder="1" applyAlignment="1" applyProtection="1">
      <alignment horizontal="center"/>
      <protection hidden="1"/>
    </xf>
    <xf numFmtId="0" fontId="0" fillId="0" borderId="0" xfId="58" applyBorder="1" applyProtection="1">
      <alignment/>
      <protection hidden="1"/>
    </xf>
    <xf numFmtId="0" fontId="12" fillId="0" borderId="0" xfId="58" applyFont="1" applyBorder="1" applyAlignment="1" applyProtection="1">
      <alignment horizontal="center"/>
      <protection hidden="1"/>
    </xf>
    <xf numFmtId="0" fontId="0" fillId="0" borderId="22" xfId="58" applyBorder="1" applyAlignment="1" applyProtection="1">
      <alignment horizontal="center"/>
      <protection hidden="1"/>
    </xf>
    <xf numFmtId="0" fontId="0" fillId="0" borderId="16" xfId="58" applyBorder="1" applyAlignment="1" applyProtection="1">
      <alignment horizontal="center" vertical="center" wrapText="1"/>
      <protection hidden="1"/>
    </xf>
    <xf numFmtId="0" fontId="12" fillId="0" borderId="23" xfId="58" applyFont="1" applyBorder="1" applyAlignment="1" applyProtection="1">
      <alignment horizontal="center" vertical="center"/>
      <protection hidden="1"/>
    </xf>
    <xf numFmtId="0" fontId="0" fillId="0" borderId="0" xfId="58" applyBorder="1" applyAlignment="1" applyProtection="1">
      <alignment horizontal="center" vertical="center" wrapText="1"/>
      <protection hidden="1"/>
    </xf>
    <xf numFmtId="0" fontId="12" fillId="0" borderId="0" xfId="58" applyFont="1" applyBorder="1" applyAlignment="1" applyProtection="1">
      <alignment/>
      <protection hidden="1"/>
    </xf>
    <xf numFmtId="0" fontId="12" fillId="0" borderId="0" xfId="58" applyFont="1" applyBorder="1" applyAlignment="1" applyProtection="1">
      <alignment horizontal="center" vertical="center"/>
      <protection hidden="1"/>
    </xf>
    <xf numFmtId="0" fontId="0" fillId="0" borderId="0" xfId="58" applyBorder="1" applyAlignment="1" applyProtection="1">
      <alignment horizontal="center" vertical="center"/>
      <protection hidden="1"/>
    </xf>
    <xf numFmtId="0" fontId="0" fillId="0" borderId="0" xfId="58" applyBorder="1">
      <alignment/>
      <protection/>
    </xf>
    <xf numFmtId="0" fontId="0" fillId="0" borderId="0" xfId="58" applyBorder="1" applyAlignment="1" applyProtection="1">
      <alignment horizontal="center"/>
      <protection hidden="1"/>
    </xf>
    <xf numFmtId="0" fontId="0" fillId="0" borderId="0" xfId="58" applyBorder="1" applyAlignment="1" applyProtection="1">
      <alignment/>
      <protection hidden="1"/>
    </xf>
    <xf numFmtId="0" fontId="0" fillId="0" borderId="0" xfId="58" applyFont="1" applyBorder="1" applyAlignment="1" applyProtection="1">
      <alignment horizontal="right"/>
      <protection hidden="1"/>
    </xf>
    <xf numFmtId="0" fontId="11" fillId="0" borderId="0" xfId="58" applyFont="1" applyBorder="1" applyAlignment="1" applyProtection="1">
      <alignment horizontal="right"/>
      <protection hidden="1"/>
    </xf>
    <xf numFmtId="0" fontId="0" fillId="0" borderId="0" xfId="58" applyBorder="1" applyAlignment="1" applyProtection="1">
      <alignment horizontal="right"/>
      <protection hidden="1"/>
    </xf>
    <xf numFmtId="0" fontId="6" fillId="0" borderId="29" xfId="0" applyFont="1" applyFill="1" applyBorder="1" applyAlignment="1" applyProtection="1">
      <alignment horizontal="center"/>
      <protection/>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22" fillId="37" borderId="22"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protection hidden="1"/>
    </xf>
    <xf numFmtId="0" fontId="21" fillId="0" borderId="16" xfId="0" applyFont="1" applyBorder="1" applyAlignment="1" applyProtection="1">
      <alignment horizontal="justify" vertical="center"/>
      <protection hidden="1"/>
    </xf>
    <xf numFmtId="0" fontId="21" fillId="0" borderId="16" xfId="0" applyNumberFormat="1" applyFont="1" applyBorder="1" applyAlignment="1" applyProtection="1">
      <alignment horizontal="justify" vertical="center"/>
      <protection hidden="1"/>
    </xf>
    <xf numFmtId="0" fontId="20" fillId="0" borderId="16" xfId="0" applyFont="1" applyFill="1" applyBorder="1" applyAlignment="1" applyProtection="1">
      <alignment horizontal="right" vertical="center"/>
      <protection hidden="1"/>
    </xf>
    <xf numFmtId="0" fontId="21" fillId="0" borderId="16" xfId="0" applyFont="1" applyBorder="1" applyAlignment="1" applyProtection="1">
      <alignment horizontal="justify" vertical="center"/>
      <protection hidden="1"/>
    </xf>
    <xf numFmtId="0" fontId="23" fillId="0" borderId="16"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25" fillId="0" borderId="18" xfId="0" applyFont="1" applyBorder="1" applyAlignment="1" applyProtection="1">
      <alignment/>
      <protection hidden="1"/>
    </xf>
    <xf numFmtId="0" fontId="12" fillId="0" borderId="18" xfId="0" applyFont="1" applyBorder="1" applyAlignment="1" applyProtection="1">
      <alignment/>
      <protection hidden="1"/>
    </xf>
    <xf numFmtId="0" fontId="25" fillId="0" borderId="10" xfId="0" applyFont="1" applyBorder="1" applyAlignment="1" applyProtection="1">
      <alignment/>
      <protection hidden="1"/>
    </xf>
    <xf numFmtId="0" fontId="3" fillId="0" borderId="0" xfId="0" applyFont="1" applyBorder="1" applyAlignment="1" applyProtection="1">
      <alignment/>
      <protection hidden="1"/>
    </xf>
    <xf numFmtId="0" fontId="12" fillId="0" borderId="0" xfId="0" applyFont="1" applyBorder="1" applyAlignment="1" applyProtection="1">
      <alignment/>
      <protection hidden="1"/>
    </xf>
    <xf numFmtId="0" fontId="3" fillId="0" borderId="15" xfId="0" applyFont="1" applyBorder="1" applyAlignment="1" applyProtection="1">
      <alignment/>
      <protection hidden="1"/>
    </xf>
    <xf numFmtId="0" fontId="12" fillId="0" borderId="15" xfId="0" applyFont="1" applyBorder="1" applyAlignment="1" applyProtection="1">
      <alignment/>
      <protection hidden="1"/>
    </xf>
    <xf numFmtId="0" fontId="12" fillId="0" borderId="15" xfId="0" applyFont="1" applyBorder="1" applyAlignment="1" applyProtection="1">
      <alignment/>
      <protection hidden="1"/>
    </xf>
    <xf numFmtId="0" fontId="12" fillId="0" borderId="13" xfId="0" applyFont="1" applyBorder="1" applyAlignment="1" applyProtection="1">
      <alignment/>
      <protection hidden="1"/>
    </xf>
    <xf numFmtId="0" fontId="0" fillId="38" borderId="44" xfId="0" applyFont="1" applyFill="1" applyBorder="1" applyAlignment="1" applyProtection="1">
      <alignment vertical="center"/>
      <protection hidden="1"/>
    </xf>
    <xf numFmtId="0" fontId="0" fillId="38" borderId="18" xfId="0" applyFont="1" applyFill="1" applyBorder="1" applyAlignment="1" applyProtection="1">
      <alignment horizontal="center" vertical="center"/>
      <protection hidden="1"/>
    </xf>
    <xf numFmtId="0" fontId="11" fillId="38" borderId="18" xfId="0" applyFont="1" applyFill="1" applyBorder="1" applyAlignment="1" applyProtection="1">
      <alignment horizontal="left" vertical="center"/>
      <protection hidden="1"/>
    </xf>
    <xf numFmtId="0" fontId="0" fillId="38" borderId="18" xfId="0" applyNumberFormat="1"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0" fillId="38" borderId="10" xfId="0" applyFont="1" applyFill="1" applyBorder="1" applyAlignment="1" applyProtection="1">
      <alignment vertical="center"/>
      <protection hidden="1"/>
    </xf>
    <xf numFmtId="0" fontId="0" fillId="38" borderId="11" xfId="0" applyFont="1" applyFill="1" applyBorder="1" applyAlignment="1" applyProtection="1">
      <alignment vertical="center"/>
      <protection hidden="1"/>
    </xf>
    <xf numFmtId="0" fontId="0" fillId="38" borderId="0" xfId="0" applyFont="1" applyFill="1" applyBorder="1" applyAlignment="1" applyProtection="1">
      <alignment horizontal="center" vertical="center"/>
      <protection hidden="1"/>
    </xf>
    <xf numFmtId="0" fontId="11" fillId="38" borderId="0" xfId="0" applyFont="1" applyFill="1" applyBorder="1" applyAlignment="1" applyProtection="1">
      <alignment vertical="center"/>
      <protection hidden="1"/>
    </xf>
    <xf numFmtId="0" fontId="11" fillId="38" borderId="0" xfId="0" applyNumberFormat="1" applyFont="1" applyFill="1" applyBorder="1" applyAlignment="1" applyProtection="1">
      <alignment vertical="center"/>
      <protection hidden="1"/>
    </xf>
    <xf numFmtId="0" fontId="11" fillId="38" borderId="12" xfId="0" applyFont="1" applyFill="1" applyBorder="1" applyAlignment="1" applyProtection="1">
      <alignment horizontal="left" vertical="center"/>
      <protection hidden="1"/>
    </xf>
    <xf numFmtId="0" fontId="11" fillId="38" borderId="0" xfId="0" applyFont="1" applyFill="1" applyBorder="1" applyAlignment="1" applyProtection="1">
      <alignment horizontal="left" vertical="center"/>
      <protection hidden="1"/>
    </xf>
    <xf numFmtId="0" fontId="0" fillId="38" borderId="0" xfId="0" applyNumberFormat="1" applyFont="1" applyFill="1" applyBorder="1" applyAlignment="1" applyProtection="1">
      <alignment vertical="center"/>
      <protection hidden="1"/>
    </xf>
    <xf numFmtId="0" fontId="0" fillId="38" borderId="0" xfId="0" applyFont="1" applyFill="1" applyBorder="1" applyAlignment="1" applyProtection="1">
      <alignment vertical="center"/>
      <protection hidden="1"/>
    </xf>
    <xf numFmtId="0" fontId="0" fillId="38" borderId="12" xfId="0" applyFont="1" applyFill="1" applyBorder="1" applyAlignment="1" applyProtection="1">
      <alignment vertical="center"/>
      <protection hidden="1"/>
    </xf>
    <xf numFmtId="0" fontId="0" fillId="38" borderId="14"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11" fillId="38" borderId="15" xfId="0" applyFont="1" applyFill="1" applyBorder="1" applyAlignment="1" applyProtection="1">
      <alignment horizontal="left" vertical="center"/>
      <protection hidden="1"/>
    </xf>
    <xf numFmtId="0" fontId="0" fillId="38" borderId="15" xfId="0" applyNumberFormat="1" applyFont="1" applyFill="1" applyBorder="1" applyAlignment="1" applyProtection="1">
      <alignment vertical="center"/>
      <protection hidden="1"/>
    </xf>
    <xf numFmtId="0" fontId="0" fillId="38" borderId="15" xfId="0" applyFont="1" applyFill="1" applyBorder="1" applyAlignment="1" applyProtection="1">
      <alignment vertical="center"/>
      <protection hidden="1"/>
    </xf>
    <xf numFmtId="0" fontId="0" fillId="38" borderId="13" xfId="0" applyFont="1" applyFill="1" applyBorder="1" applyAlignment="1" applyProtection="1">
      <alignment vertical="center"/>
      <protection hidden="1"/>
    </xf>
    <xf numFmtId="0" fontId="11" fillId="39" borderId="44" xfId="0" applyFont="1" applyFill="1" applyBorder="1" applyAlignment="1" applyProtection="1">
      <alignment horizontal="left"/>
      <protection hidden="1"/>
    </xf>
    <xf numFmtId="0" fontId="0" fillId="39" borderId="18" xfId="0" applyFont="1" applyFill="1" applyBorder="1" applyAlignment="1" applyProtection="1">
      <alignment/>
      <protection hidden="1"/>
    </xf>
    <xf numFmtId="0" fontId="0" fillId="39" borderId="18" xfId="0" applyNumberFormat="1" applyFont="1" applyFill="1" applyBorder="1" applyAlignment="1" applyProtection="1">
      <alignment/>
      <protection hidden="1"/>
    </xf>
    <xf numFmtId="0" fontId="0" fillId="39" borderId="10" xfId="0" applyFont="1" applyFill="1" applyBorder="1" applyAlignment="1" applyProtection="1">
      <alignment/>
      <protection hidden="1"/>
    </xf>
    <xf numFmtId="0" fontId="13" fillId="39" borderId="14" xfId="0" applyFont="1" applyFill="1" applyBorder="1" applyAlignment="1" applyProtection="1">
      <alignment horizontal="center" vertical="center" wrapText="1"/>
      <protection hidden="1"/>
    </xf>
    <xf numFmtId="0" fontId="0" fillId="39" borderId="15" xfId="0" applyFont="1" applyFill="1" applyBorder="1" applyAlignment="1" applyProtection="1">
      <alignment horizontal="left" vertical="center"/>
      <protection hidden="1"/>
    </xf>
    <xf numFmtId="0" fontId="0" fillId="39" borderId="15" xfId="0" applyNumberFormat="1" applyFont="1" applyFill="1" applyBorder="1" applyAlignment="1" applyProtection="1">
      <alignment horizontal="center" vertical="center"/>
      <protection hidden="1"/>
    </xf>
    <xf numFmtId="0" fontId="0" fillId="39" borderId="15" xfId="0" applyFont="1" applyFill="1" applyBorder="1" applyAlignment="1" applyProtection="1">
      <alignment horizontal="center" vertical="center" wrapText="1"/>
      <protection hidden="1"/>
    </xf>
    <xf numFmtId="0" fontId="0" fillId="39" borderId="13" xfId="0" applyFont="1" applyFill="1" applyBorder="1" applyAlignment="1" applyProtection="1">
      <alignment horizontal="center" vertical="center" wrapText="1"/>
      <protection hidden="1"/>
    </xf>
    <xf numFmtId="0" fontId="0" fillId="38" borderId="11" xfId="0"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11" fillId="38" borderId="12" xfId="0" applyFont="1" applyFill="1" applyBorder="1" applyAlignment="1" applyProtection="1">
      <alignment horizontal="center"/>
      <protection hidden="1"/>
    </xf>
    <xf numFmtId="0" fontId="0" fillId="38" borderId="14" xfId="0" applyFill="1" applyBorder="1" applyAlignment="1" applyProtection="1">
      <alignment horizontal="center"/>
      <protection hidden="1"/>
    </xf>
    <xf numFmtId="0" fontId="0" fillId="38" borderId="15" xfId="0" applyFont="1" applyFill="1" applyBorder="1" applyAlignment="1" applyProtection="1">
      <alignment horizontal="center"/>
      <protection hidden="1"/>
    </xf>
    <xf numFmtId="0" fontId="11" fillId="38" borderId="13" xfId="0" applyFont="1" applyFill="1" applyBorder="1" applyAlignment="1" applyProtection="1">
      <alignment horizontal="center"/>
      <protection hidden="1"/>
    </xf>
    <xf numFmtId="0" fontId="0" fillId="38" borderId="44" xfId="0"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0" fontId="11" fillId="38" borderId="10" xfId="0" applyFont="1" applyFill="1" applyBorder="1" applyAlignment="1" applyProtection="1">
      <alignment horizontal="center"/>
      <protection hidden="1"/>
    </xf>
    <xf numFmtId="0" fontId="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1" fillId="38" borderId="15" xfId="0" applyFont="1" applyFill="1" applyBorder="1" applyAlignment="1" applyProtection="1">
      <alignment/>
      <protection hidden="1"/>
    </xf>
    <xf numFmtId="0" fontId="0" fillId="38" borderId="15" xfId="0" applyFont="1" applyFill="1" applyBorder="1" applyAlignment="1" applyProtection="1">
      <alignment/>
      <protection hidden="1"/>
    </xf>
    <xf numFmtId="0" fontId="11" fillId="38" borderId="18" xfId="0" applyFont="1" applyFill="1" applyBorder="1" applyAlignment="1" applyProtection="1">
      <alignment/>
      <protection hidden="1"/>
    </xf>
    <xf numFmtId="0" fontId="0" fillId="38" borderId="18" xfId="0" applyFont="1" applyFill="1" applyBorder="1" applyAlignment="1" applyProtection="1">
      <alignment/>
      <protection hidden="1"/>
    </xf>
    <xf numFmtId="0" fontId="11" fillId="38" borderId="0" xfId="0" applyFont="1" applyFill="1" applyBorder="1" applyAlignment="1" applyProtection="1">
      <alignment/>
      <protection hidden="1"/>
    </xf>
    <xf numFmtId="0" fontId="0" fillId="38" borderId="0" xfId="0" applyFont="1" applyFill="1" applyBorder="1" applyAlignment="1" applyProtection="1">
      <alignment/>
      <protection hidden="1"/>
    </xf>
    <xf numFmtId="0" fontId="0" fillId="0" borderId="22"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11" fillId="38" borderId="18" xfId="0" applyFont="1" applyFill="1" applyBorder="1" applyAlignment="1" applyProtection="1">
      <alignment horizontal="left"/>
      <protection hidden="1"/>
    </xf>
    <xf numFmtId="0" fontId="11" fillId="38" borderId="0" xfId="0" applyFont="1" applyFill="1" applyBorder="1" applyAlignment="1" applyProtection="1">
      <alignment horizontal="left"/>
      <protection hidden="1"/>
    </xf>
    <xf numFmtId="0" fontId="13" fillId="39" borderId="21" xfId="0" applyFont="1" applyFill="1" applyBorder="1" applyAlignment="1" applyProtection="1">
      <alignment horizontal="center" vertical="center" wrapText="1"/>
      <protection hidden="1"/>
    </xf>
    <xf numFmtId="0" fontId="0" fillId="39" borderId="22" xfId="0" applyFill="1" applyBorder="1" applyAlignment="1" applyProtection="1">
      <alignment horizontal="left" vertical="center"/>
      <protection hidden="1"/>
    </xf>
    <xf numFmtId="0" fontId="0" fillId="39" borderId="22" xfId="0" applyFill="1" applyBorder="1" applyAlignment="1" applyProtection="1">
      <alignment horizontal="center" vertical="center" wrapText="1"/>
      <protection hidden="1"/>
    </xf>
    <xf numFmtId="0" fontId="0" fillId="39" borderId="22" xfId="0" applyNumberFormat="1" applyFill="1" applyBorder="1" applyAlignment="1" applyProtection="1">
      <alignment horizontal="center" vertical="center" wrapText="1"/>
      <protection hidden="1"/>
    </xf>
    <xf numFmtId="0" fontId="0" fillId="39" borderId="23" xfId="0" applyFont="1" applyFill="1" applyBorder="1" applyAlignment="1" applyProtection="1">
      <alignment horizontal="center" vertical="center"/>
      <protection hidden="1"/>
    </xf>
    <xf numFmtId="0" fontId="0" fillId="38" borderId="18" xfId="0" applyFill="1" applyBorder="1" applyAlignment="1" applyProtection="1">
      <alignment/>
      <protection hidden="1"/>
    </xf>
    <xf numFmtId="0" fontId="11" fillId="38" borderId="10" xfId="0" applyFont="1" applyFill="1" applyBorder="1" applyAlignment="1" applyProtection="1">
      <alignment/>
      <protection hidden="1"/>
    </xf>
    <xf numFmtId="0" fontId="0" fillId="38" borderId="0" xfId="0" applyFill="1" applyBorder="1" applyAlignment="1" applyProtection="1">
      <alignment/>
      <protection hidden="1"/>
    </xf>
    <xf numFmtId="0" fontId="11" fillId="38" borderId="12" xfId="0" applyFont="1" applyFill="1" applyBorder="1" applyAlignment="1" applyProtection="1">
      <alignment/>
      <protection hidden="1"/>
    </xf>
    <xf numFmtId="0" fontId="0" fillId="38" borderId="14" xfId="0" applyFont="1" applyFill="1" applyBorder="1" applyAlignment="1" applyProtection="1">
      <alignment vertical="center"/>
      <protection hidden="1"/>
    </xf>
    <xf numFmtId="0" fontId="0" fillId="38" borderId="15" xfId="0" applyFill="1" applyBorder="1" applyAlignment="1" applyProtection="1">
      <alignment/>
      <protection hidden="1"/>
    </xf>
    <xf numFmtId="0" fontId="11" fillId="38" borderId="13" xfId="0" applyFont="1" applyFill="1" applyBorder="1" applyAlignment="1" applyProtection="1">
      <alignment/>
      <protection hidden="1"/>
    </xf>
    <xf numFmtId="0" fontId="0" fillId="39" borderId="22" xfId="0" applyFont="1" applyFill="1" applyBorder="1" applyAlignment="1" applyProtection="1">
      <alignment horizontal="left" vertical="center"/>
      <protection hidden="1"/>
    </xf>
    <xf numFmtId="0" fontId="0" fillId="39" borderId="22" xfId="0" applyNumberFormat="1" applyFont="1" applyFill="1" applyBorder="1" applyAlignment="1" applyProtection="1">
      <alignment horizontal="center" vertical="center"/>
      <protection hidden="1"/>
    </xf>
    <xf numFmtId="0" fontId="0" fillId="39" borderId="22" xfId="0" applyFont="1" applyFill="1" applyBorder="1" applyAlignment="1" applyProtection="1">
      <alignment horizontal="center" vertical="center" wrapText="1"/>
      <protection hidden="1"/>
    </xf>
    <xf numFmtId="0" fontId="0" fillId="39" borderId="23" xfId="0" applyFont="1" applyFill="1" applyBorder="1" applyAlignment="1" applyProtection="1">
      <alignment horizontal="center" vertical="center" wrapText="1"/>
      <protection hidden="1"/>
    </xf>
    <xf numFmtId="0" fontId="0" fillId="38" borderId="18" xfId="0"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5" xfId="0" applyFont="1" applyFill="1" applyBorder="1" applyAlignment="1" applyProtection="1">
      <alignment horizontal="center"/>
      <protection hidden="1"/>
    </xf>
    <xf numFmtId="0" fontId="0" fillId="0" borderId="15" xfId="0" applyFont="1" applyFill="1" applyBorder="1" applyAlignment="1" applyProtection="1">
      <alignment vertical="center"/>
      <protection hidden="1"/>
    </xf>
    <xf numFmtId="0" fontId="0" fillId="0" borderId="15" xfId="0" applyFont="1" applyFill="1" applyBorder="1" applyAlignment="1" applyProtection="1">
      <alignment horizontal="center" vertical="center"/>
      <protection hidden="1"/>
    </xf>
    <xf numFmtId="0" fontId="11" fillId="0" borderId="15" xfId="0" applyFont="1" applyFill="1" applyBorder="1" applyAlignment="1" applyProtection="1">
      <alignment horizontal="left" vertical="center"/>
      <protection hidden="1"/>
    </xf>
    <xf numFmtId="0" fontId="0" fillId="0" borderId="15" xfId="0" applyNumberFormat="1" applyFont="1" applyFill="1" applyBorder="1" applyAlignment="1" applyProtection="1">
      <alignment vertical="center"/>
      <protection hidden="1"/>
    </xf>
    <xf numFmtId="0" fontId="0" fillId="38" borderId="18" xfId="0" applyFill="1" applyBorder="1" applyAlignment="1" applyProtection="1">
      <alignment horizontal="center"/>
      <protection hidden="1"/>
    </xf>
    <xf numFmtId="0" fontId="0" fillId="38" borderId="0" xfId="0" applyFill="1" applyBorder="1" applyAlignment="1" applyProtection="1">
      <alignment horizontal="center"/>
      <protection hidden="1"/>
    </xf>
    <xf numFmtId="0" fontId="0" fillId="38" borderId="15" xfId="0" applyFill="1" applyBorder="1" applyAlignment="1" applyProtection="1">
      <alignment horizontal="center"/>
      <protection hidden="1"/>
    </xf>
    <xf numFmtId="0" fontId="0" fillId="0" borderId="15" xfId="0" applyFont="1" applyFill="1" applyBorder="1" applyAlignment="1" applyProtection="1">
      <alignment vertical="center"/>
      <protection hidden="1"/>
    </xf>
    <xf numFmtId="0" fontId="11" fillId="0" borderId="22" xfId="0" applyFont="1" applyFill="1" applyBorder="1" applyAlignment="1" applyProtection="1">
      <alignment/>
      <protection hidden="1"/>
    </xf>
    <xf numFmtId="0" fontId="0" fillId="39" borderId="18" xfId="0" applyFont="1" applyFill="1" applyBorder="1" applyAlignment="1" applyProtection="1">
      <alignment horizontal="left" vertical="center"/>
      <protection hidden="1"/>
    </xf>
    <xf numFmtId="0" fontId="0" fillId="39" borderId="18" xfId="0" applyFill="1" applyBorder="1" applyAlignment="1" applyProtection="1">
      <alignment horizontal="center" vertical="center" wrapText="1"/>
      <protection hidden="1"/>
    </xf>
    <xf numFmtId="0" fontId="0" fillId="39" borderId="18" xfId="0" applyNumberFormat="1" applyFont="1" applyFill="1" applyBorder="1" applyAlignment="1" applyProtection="1">
      <alignment horizontal="center" vertical="center"/>
      <protection hidden="1"/>
    </xf>
    <xf numFmtId="0" fontId="0" fillId="39" borderId="18" xfId="0" applyFont="1" applyFill="1" applyBorder="1" applyAlignment="1" applyProtection="1">
      <alignment horizontal="center" vertical="center" wrapText="1"/>
      <protection hidden="1"/>
    </xf>
    <xf numFmtId="0" fontId="0" fillId="39" borderId="10" xfId="0" applyFont="1" applyFill="1" applyBorder="1" applyAlignment="1" applyProtection="1">
      <alignment horizontal="center" vertical="center" wrapText="1"/>
      <protection hidden="1"/>
    </xf>
    <xf numFmtId="0" fontId="0" fillId="38" borderId="10" xfId="0" applyFont="1" applyFill="1" applyBorder="1" applyAlignment="1" applyProtection="1">
      <alignment/>
      <protection hidden="1"/>
    </xf>
    <xf numFmtId="0" fontId="11" fillId="38" borderId="11" xfId="0" applyFont="1" applyFill="1" applyBorder="1" applyAlignment="1" applyProtection="1">
      <alignment horizontal="center"/>
      <protection hidden="1"/>
    </xf>
    <xf numFmtId="0" fontId="0" fillId="38" borderId="12" xfId="0" applyFont="1" applyFill="1" applyBorder="1" applyAlignment="1" applyProtection="1">
      <alignment/>
      <protection hidden="1"/>
    </xf>
    <xf numFmtId="0" fontId="11" fillId="38" borderId="14" xfId="0" applyFont="1" applyFill="1" applyBorder="1" applyAlignment="1" applyProtection="1">
      <alignment horizontal="center"/>
      <protection hidden="1"/>
    </xf>
    <xf numFmtId="0" fontId="0" fillId="38" borderId="13" xfId="0" applyFont="1" applyFill="1" applyBorder="1" applyAlignment="1" applyProtection="1">
      <alignment/>
      <protection hidden="1"/>
    </xf>
    <xf numFmtId="0" fontId="11" fillId="38" borderId="0" xfId="0" applyFont="1" applyFill="1" applyBorder="1" applyAlignment="1" applyProtection="1">
      <alignment/>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Fill="1" applyBorder="1" applyAlignment="1" applyProtection="1">
      <alignment vertical="center" wrapText="1"/>
      <protection hidden="1"/>
    </xf>
    <xf numFmtId="0" fontId="0" fillId="38" borderId="18" xfId="0" applyFont="1" applyFill="1" applyBorder="1" applyAlignment="1" applyProtection="1">
      <alignment horizontal="right"/>
      <protection hidden="1"/>
    </xf>
    <xf numFmtId="0" fontId="0" fillId="38" borderId="0" xfId="0" applyFont="1" applyFill="1" applyBorder="1" applyAlignment="1" applyProtection="1">
      <alignment horizontal="right"/>
      <protection hidden="1"/>
    </xf>
    <xf numFmtId="0" fontId="0" fillId="38" borderId="15" xfId="0" applyFont="1" applyFill="1" applyBorder="1" applyAlignment="1" applyProtection="1">
      <alignment horizontal="right"/>
      <protection hidden="1"/>
    </xf>
    <xf numFmtId="0" fontId="0" fillId="38" borderId="18" xfId="0" applyFill="1" applyBorder="1" applyAlignment="1" applyProtection="1">
      <alignment horizontal="right"/>
      <protection hidden="1"/>
    </xf>
    <xf numFmtId="0" fontId="0" fillId="38" borderId="0" xfId="0" applyFill="1" applyBorder="1" applyAlignment="1" applyProtection="1">
      <alignment horizontal="right"/>
      <protection hidden="1"/>
    </xf>
    <xf numFmtId="0" fontId="0" fillId="38" borderId="15" xfId="0" applyFill="1" applyBorder="1" applyAlignment="1" applyProtection="1">
      <alignment horizontal="right"/>
      <protection hidden="1"/>
    </xf>
    <xf numFmtId="0" fontId="17" fillId="39" borderId="43" xfId="0" applyFont="1" applyFill="1" applyBorder="1" applyAlignment="1" applyProtection="1">
      <alignment horizontal="right"/>
      <protection hidden="1"/>
    </xf>
    <xf numFmtId="0" fontId="25" fillId="39" borderId="31" xfId="0" applyFont="1" applyFill="1" applyBorder="1" applyAlignment="1" applyProtection="1">
      <alignment horizontal="justify" vertical="center"/>
      <protection hidden="1"/>
    </xf>
    <xf numFmtId="0" fontId="21" fillId="39" borderId="27" xfId="0" applyFont="1" applyFill="1" applyBorder="1" applyAlignment="1" applyProtection="1">
      <alignment horizontal="center" vertical="center" textRotation="90" wrapText="1"/>
      <protection hidden="1"/>
    </xf>
    <xf numFmtId="0" fontId="21" fillId="39" borderId="27" xfId="0" applyFont="1" applyFill="1" applyBorder="1" applyAlignment="1" applyProtection="1">
      <alignment horizontal="center" vertical="center" textRotation="90"/>
      <protection hidden="1"/>
    </xf>
    <xf numFmtId="0" fontId="21" fillId="39" borderId="32" xfId="0" applyFont="1" applyFill="1" applyBorder="1" applyAlignment="1" applyProtection="1">
      <alignment horizontal="justify" vertical="center" textRotation="90"/>
      <protection hidden="1"/>
    </xf>
    <xf numFmtId="0" fontId="21" fillId="39" borderId="26" xfId="0" applyFont="1" applyFill="1" applyBorder="1" applyAlignment="1" applyProtection="1">
      <alignment horizontal="center" vertical="center" textRotation="90"/>
      <protection hidden="1"/>
    </xf>
    <xf numFmtId="0" fontId="25" fillId="39" borderId="36" xfId="0" applyFont="1" applyFill="1" applyBorder="1" applyAlignment="1" applyProtection="1">
      <alignment horizontal="justify" vertical="center"/>
      <protection hidden="1"/>
    </xf>
    <xf numFmtId="0" fontId="21" fillId="39" borderId="45" xfId="0" applyFont="1" applyFill="1" applyBorder="1" applyAlignment="1" applyProtection="1">
      <alignment horizontal="center" vertical="center" textRotation="90"/>
      <protection hidden="1"/>
    </xf>
    <xf numFmtId="0" fontId="21" fillId="39" borderId="46" xfId="0" applyFont="1" applyFill="1" applyBorder="1" applyAlignment="1" applyProtection="1">
      <alignment horizontal="justify" vertical="center" textRotation="90"/>
      <protection hidden="1"/>
    </xf>
    <xf numFmtId="0" fontId="21" fillId="39" borderId="37" xfId="0" applyFont="1" applyFill="1" applyBorder="1" applyAlignment="1" applyProtection="1">
      <alignment horizontal="center" vertical="center" textRotation="90"/>
      <protection hidden="1"/>
    </xf>
    <xf numFmtId="0" fontId="25" fillId="39" borderId="27" xfId="0" applyFont="1" applyFill="1" applyBorder="1" applyAlignment="1" applyProtection="1">
      <alignment horizontal="justify" vertical="center"/>
      <protection hidden="1"/>
    </xf>
    <xf numFmtId="0" fontId="0" fillId="0" borderId="0" xfId="58" applyFont="1">
      <alignment/>
      <protection/>
    </xf>
    <xf numFmtId="0" fontId="0" fillId="0" borderId="15" xfId="58" applyBorder="1" applyProtection="1">
      <alignment/>
      <protection hidden="1"/>
    </xf>
    <xf numFmtId="0" fontId="8" fillId="0" borderId="15" xfId="58" applyFont="1" applyBorder="1" applyAlignment="1" applyProtection="1">
      <alignment horizontal="center"/>
      <protection hidden="1"/>
    </xf>
    <xf numFmtId="0" fontId="0" fillId="0" borderId="15" xfId="58" applyBorder="1">
      <alignment/>
      <protection/>
    </xf>
    <xf numFmtId="0" fontId="19" fillId="0" borderId="15" xfId="58" applyFont="1" applyBorder="1" applyAlignment="1" applyProtection="1">
      <alignment horizontal="center"/>
      <protection hidden="1"/>
    </xf>
    <xf numFmtId="0" fontId="19" fillId="0" borderId="15" xfId="58" applyFont="1" applyBorder="1" applyAlignment="1" applyProtection="1">
      <alignment horizontal="center"/>
      <protection hidden="1"/>
    </xf>
    <xf numFmtId="0" fontId="0" fillId="38" borderId="10" xfId="0" applyFill="1" applyBorder="1" applyAlignment="1" applyProtection="1">
      <alignment/>
      <protection hidden="1"/>
    </xf>
    <xf numFmtId="0" fontId="0" fillId="38" borderId="12" xfId="0" applyFill="1" applyBorder="1" applyAlignment="1" applyProtection="1">
      <alignment/>
      <protection hidden="1"/>
    </xf>
    <xf numFmtId="0" fontId="0" fillId="38" borderId="13" xfId="0" applyFill="1" applyBorder="1" applyAlignment="1" applyProtection="1">
      <alignment/>
      <protection hidden="1"/>
    </xf>
    <xf numFmtId="0" fontId="0" fillId="38" borderId="11" xfId="0" applyFill="1" applyBorder="1" applyAlignment="1" applyProtection="1">
      <alignment/>
      <protection hidden="1"/>
    </xf>
    <xf numFmtId="0" fontId="0" fillId="38" borderId="0" xfId="0" applyFill="1" applyBorder="1" applyAlignment="1" applyProtection="1">
      <alignment/>
      <protection hidden="1" locked="0"/>
    </xf>
    <xf numFmtId="0" fontId="0" fillId="38" borderId="0" xfId="0" applyFont="1" applyFill="1" applyBorder="1" applyAlignment="1" applyProtection="1">
      <alignment/>
      <protection hidden="1"/>
    </xf>
    <xf numFmtId="0" fontId="7" fillId="38" borderId="0" xfId="0" applyFont="1" applyFill="1" applyBorder="1" applyAlignment="1" applyProtection="1">
      <alignment/>
      <protection hidden="1"/>
    </xf>
    <xf numFmtId="0" fontId="3" fillId="38" borderId="0" xfId="0" applyFont="1" applyFill="1" applyBorder="1" applyAlignment="1">
      <alignment horizontal="center" vertical="center" wrapText="1"/>
    </xf>
    <xf numFmtId="0" fontId="0" fillId="38" borderId="0" xfId="0" applyFill="1" applyBorder="1" applyAlignment="1" applyProtection="1">
      <alignment horizontal="center" vertical="center"/>
      <protection hidden="1"/>
    </xf>
    <xf numFmtId="0" fontId="0" fillId="38" borderId="14" xfId="0" applyFill="1" applyBorder="1" applyAlignment="1" applyProtection="1">
      <alignment/>
      <protection hidden="1"/>
    </xf>
    <xf numFmtId="0" fontId="0" fillId="0" borderId="0" xfId="0" applyFont="1" applyFill="1" applyBorder="1" applyAlignment="1" applyProtection="1">
      <alignment vertical="center"/>
      <protection hidden="1"/>
    </xf>
    <xf numFmtId="0" fontId="0" fillId="38" borderId="44" xfId="0" applyFont="1" applyFill="1" applyBorder="1" applyAlignment="1" applyProtection="1">
      <alignment vertical="center"/>
      <protection hidden="1"/>
    </xf>
    <xf numFmtId="0" fontId="0" fillId="38" borderId="44" xfId="0" applyFont="1" applyFill="1" applyBorder="1" applyAlignment="1" applyProtection="1">
      <alignment/>
      <protection hidden="1"/>
    </xf>
    <xf numFmtId="0" fontId="0" fillId="38" borderId="18" xfId="0" applyFont="1" applyFill="1" applyBorder="1" applyAlignment="1" applyProtection="1">
      <alignment/>
      <protection hidden="1"/>
    </xf>
    <xf numFmtId="0" fontId="0" fillId="38" borderId="10" xfId="0" applyFont="1" applyFill="1" applyBorder="1" applyAlignment="1" applyProtection="1">
      <alignment/>
      <protection hidden="1"/>
    </xf>
    <xf numFmtId="0" fontId="0" fillId="38" borderId="11" xfId="0" applyFont="1" applyFill="1" applyBorder="1" applyAlignment="1" applyProtection="1">
      <alignment/>
      <protection hidden="1"/>
    </xf>
    <xf numFmtId="0" fontId="0" fillId="38" borderId="0" xfId="0" applyFont="1" applyFill="1" applyBorder="1" applyAlignment="1" applyProtection="1">
      <alignment/>
      <protection hidden="1"/>
    </xf>
    <xf numFmtId="0" fontId="0" fillId="38" borderId="12" xfId="0" applyFont="1" applyFill="1" applyBorder="1" applyAlignment="1" applyProtection="1">
      <alignment/>
      <protection hidden="1"/>
    </xf>
    <xf numFmtId="0" fontId="0" fillId="0" borderId="0" xfId="0" applyFont="1" applyFill="1" applyAlignment="1" applyProtection="1">
      <alignment/>
      <protection hidden="1"/>
    </xf>
    <xf numFmtId="0" fontId="0" fillId="39" borderId="0" xfId="0" applyFont="1" applyFill="1" applyBorder="1" applyAlignment="1" applyProtection="1">
      <alignment horizontal="center" vertical="center" wrapText="1"/>
      <protection hidden="1"/>
    </xf>
    <xf numFmtId="0" fontId="0" fillId="39" borderId="0" xfId="0" applyFont="1" applyFill="1" applyBorder="1" applyAlignment="1" applyProtection="1">
      <alignment horizontal="center" vertical="center"/>
      <protection hidden="1"/>
    </xf>
    <xf numFmtId="0" fontId="11" fillId="38" borderId="0" xfId="0" applyFont="1" applyFill="1" applyBorder="1" applyAlignment="1" applyProtection="1">
      <alignment horizontal="center"/>
      <protection hidden="1"/>
    </xf>
    <xf numFmtId="0" fontId="0" fillId="39" borderId="11" xfId="0" applyFont="1" applyFill="1" applyBorder="1" applyAlignment="1" applyProtection="1">
      <alignment horizontal="center" vertical="center" wrapText="1"/>
      <protection hidden="1"/>
    </xf>
    <xf numFmtId="0" fontId="0" fillId="38" borderId="44" xfId="0" applyFont="1" applyFill="1" applyBorder="1" applyAlignment="1" applyProtection="1">
      <alignment horizontal="left"/>
      <protection hidden="1"/>
    </xf>
    <xf numFmtId="0" fontId="0" fillId="38" borderId="11" xfId="0" applyFont="1" applyFill="1" applyBorder="1" applyAlignment="1" applyProtection="1">
      <alignment/>
      <protection hidden="1"/>
    </xf>
    <xf numFmtId="0" fontId="30" fillId="38" borderId="11" xfId="0" applyFont="1" applyFill="1" applyBorder="1" applyAlignment="1" applyProtection="1">
      <alignment horizontal="left"/>
      <protection hidden="1"/>
    </xf>
    <xf numFmtId="0" fontId="14" fillId="38" borderId="0" xfId="0" applyFont="1" applyFill="1" applyBorder="1" applyAlignment="1" applyProtection="1">
      <alignment horizontal="center"/>
      <protection hidden="1"/>
    </xf>
    <xf numFmtId="0" fontId="18" fillId="38" borderId="11" xfId="0" applyFont="1" applyFill="1" applyBorder="1" applyAlignment="1" applyProtection="1">
      <alignment/>
      <protection hidden="1"/>
    </xf>
    <xf numFmtId="0" fontId="11" fillId="38" borderId="11" xfId="0" applyFont="1" applyFill="1" applyBorder="1" applyAlignment="1" applyProtection="1">
      <alignment/>
      <protection hidden="1"/>
    </xf>
    <xf numFmtId="0" fontId="0" fillId="38" borderId="11" xfId="0" applyFont="1" applyFill="1" applyBorder="1" applyAlignment="1" applyProtection="1">
      <alignment horizontal="center"/>
      <protection hidden="1"/>
    </xf>
    <xf numFmtId="0" fontId="14" fillId="38" borderId="11" xfId="0" applyFont="1" applyFill="1" applyBorder="1" applyAlignment="1" applyProtection="1">
      <alignment horizontal="left"/>
      <protection hidden="1"/>
    </xf>
    <xf numFmtId="0" fontId="0" fillId="38" borderId="0" xfId="0" applyFill="1" applyBorder="1" applyAlignment="1" applyProtection="1">
      <alignment horizontal="left"/>
      <protection hidden="1"/>
    </xf>
    <xf numFmtId="0" fontId="0" fillId="38" borderId="0" xfId="0" applyFont="1" applyFill="1" applyBorder="1" applyAlignment="1" applyProtection="1">
      <alignment horizontal="left"/>
      <protection hidden="1"/>
    </xf>
    <xf numFmtId="0" fontId="0" fillId="38" borderId="11" xfId="0" applyFont="1" applyFill="1" applyBorder="1" applyAlignment="1" applyProtection="1">
      <alignment horizontal="right"/>
      <protection hidden="1"/>
    </xf>
    <xf numFmtId="0" fontId="0" fillId="39" borderId="12" xfId="0" applyFont="1" applyFill="1" applyBorder="1" applyAlignment="1" applyProtection="1">
      <alignment vertical="center" wrapText="1"/>
      <protection hidden="1"/>
    </xf>
    <xf numFmtId="0" fontId="0" fillId="38" borderId="44" xfId="0" applyFont="1" applyFill="1" applyBorder="1" applyAlignment="1" applyProtection="1">
      <alignment/>
      <protection hidden="1"/>
    </xf>
    <xf numFmtId="0" fontId="0" fillId="38" borderId="14" xfId="0" applyFont="1" applyFill="1" applyBorder="1" applyAlignment="1" applyProtection="1">
      <alignment/>
      <protection hidden="1"/>
    </xf>
    <xf numFmtId="0" fontId="30" fillId="38" borderId="11" xfId="0" applyFont="1" applyFill="1" applyBorder="1" applyAlignment="1" applyProtection="1">
      <alignment/>
      <protection hidden="1"/>
    </xf>
    <xf numFmtId="0" fontId="8" fillId="38" borderId="0" xfId="0" applyFont="1" applyFill="1" applyBorder="1" applyAlignment="1" applyProtection="1">
      <alignment/>
      <protection hidden="1"/>
    </xf>
    <xf numFmtId="0" fontId="0" fillId="38" borderId="12" xfId="0" applyFill="1" applyBorder="1" applyAlignment="1" applyProtection="1">
      <alignment horizontal="center"/>
      <protection hidden="1"/>
    </xf>
    <xf numFmtId="0" fontId="8" fillId="38" borderId="11" xfId="0" applyFont="1" applyFill="1" applyBorder="1" applyAlignment="1" applyProtection="1">
      <alignment/>
      <protection hidden="1"/>
    </xf>
    <xf numFmtId="3" fontId="11" fillId="38" borderId="0" xfId="0" applyNumberFormat="1" applyFont="1" applyFill="1" applyBorder="1" applyAlignment="1" applyProtection="1">
      <alignment/>
      <protection hidden="1"/>
    </xf>
    <xf numFmtId="3" fontId="0" fillId="38" borderId="0" xfId="0" applyNumberFormat="1" applyFill="1" applyBorder="1" applyAlignment="1" applyProtection="1">
      <alignment/>
      <protection hidden="1"/>
    </xf>
    <xf numFmtId="0" fontId="3"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38" fillId="0" borderId="0" xfId="0" applyFont="1" applyFill="1" applyAlignment="1" applyProtection="1">
      <alignment horizontal="center"/>
      <protection/>
    </xf>
    <xf numFmtId="0" fontId="41" fillId="0" borderId="0" xfId="0" applyFont="1" applyFill="1" applyAlignment="1">
      <alignment/>
    </xf>
    <xf numFmtId="0" fontId="3" fillId="0" borderId="29" xfId="0" applyFont="1" applyFill="1" applyBorder="1" applyAlignment="1" applyProtection="1">
      <alignment horizontal="center"/>
      <protection/>
    </xf>
    <xf numFmtId="0" fontId="3" fillId="0" borderId="29" xfId="0" applyFont="1" applyFill="1" applyBorder="1" applyAlignment="1" applyProtection="1">
      <alignment/>
      <protection/>
    </xf>
    <xf numFmtId="0" fontId="38" fillId="0" borderId="29" xfId="0" applyFont="1" applyFill="1" applyBorder="1" applyAlignment="1" applyProtection="1">
      <alignment horizontal="center"/>
      <protection/>
    </xf>
    <xf numFmtId="0" fontId="41" fillId="0" borderId="29" xfId="0" applyFont="1" applyFill="1" applyBorder="1" applyAlignment="1">
      <alignment/>
    </xf>
    <xf numFmtId="0" fontId="0" fillId="35" borderId="0" xfId="0" applyFill="1" applyAlignment="1" applyProtection="1">
      <alignment horizontal="center" vertical="center" wrapText="1"/>
      <protection/>
    </xf>
    <xf numFmtId="0" fontId="0" fillId="0" borderId="0" xfId="0" applyFill="1" applyAlignment="1" applyProtection="1">
      <alignment/>
      <protection/>
    </xf>
    <xf numFmtId="0" fontId="0" fillId="0" borderId="0" xfId="0" applyFill="1" applyAlignment="1" applyProtection="1">
      <alignment shrinkToFit="1"/>
      <protection hidden="1"/>
    </xf>
    <xf numFmtId="0" fontId="0" fillId="0" borderId="0" xfId="0" applyFill="1" applyAlignment="1" applyProtection="1">
      <alignment/>
      <protection locked="0"/>
    </xf>
    <xf numFmtId="0" fontId="0" fillId="0" borderId="0" xfId="0" applyFill="1" applyAlignment="1" applyProtection="1">
      <alignment horizontal="center"/>
      <protection/>
    </xf>
    <xf numFmtId="0" fontId="0" fillId="0" borderId="29" xfId="0" applyFill="1" applyBorder="1" applyAlignment="1" applyProtection="1">
      <alignment/>
      <protection/>
    </xf>
    <xf numFmtId="0" fontId="11" fillId="0" borderId="29" xfId="0" applyFont="1" applyFill="1" applyBorder="1" applyAlignment="1" applyProtection="1">
      <alignment horizontal="center"/>
      <protection hidden="1"/>
    </xf>
    <xf numFmtId="0" fontId="0" fillId="0" borderId="29" xfId="0" applyFill="1" applyBorder="1" applyAlignment="1" applyProtection="1">
      <alignment horizontal="center"/>
      <protection hidden="1"/>
    </xf>
    <xf numFmtId="0" fontId="0" fillId="0" borderId="29" xfId="0" applyFill="1" applyBorder="1" applyAlignment="1" applyProtection="1">
      <alignment shrinkToFit="1"/>
      <protection hidden="1"/>
    </xf>
    <xf numFmtId="0" fontId="0" fillId="0" borderId="29" xfId="0" applyFill="1" applyBorder="1" applyAlignment="1" applyProtection="1">
      <alignment/>
      <protection locked="0"/>
    </xf>
    <xf numFmtId="0" fontId="0" fillId="0" borderId="29" xfId="0" applyFill="1" applyBorder="1" applyAlignment="1" applyProtection="1">
      <alignment horizontal="center"/>
      <protection/>
    </xf>
    <xf numFmtId="0" fontId="0" fillId="0" borderId="0" xfId="0" applyFill="1" applyAlignment="1" applyProtection="1">
      <alignment/>
      <protection hidden="1"/>
    </xf>
    <xf numFmtId="0" fontId="0" fillId="0" borderId="29" xfId="0" applyFill="1" applyBorder="1" applyAlignment="1">
      <alignment/>
    </xf>
    <xf numFmtId="0" fontId="0" fillId="0" borderId="29" xfId="0" applyFill="1" applyBorder="1" applyAlignment="1" applyProtection="1">
      <alignment/>
      <protection hidden="1"/>
    </xf>
    <xf numFmtId="0" fontId="0" fillId="0" borderId="29" xfId="0" applyFill="1" applyBorder="1" applyAlignment="1" applyProtection="1">
      <alignment/>
      <protection hidden="1"/>
    </xf>
    <xf numFmtId="0" fontId="0" fillId="0" borderId="29" xfId="0" applyFill="1" applyBorder="1" applyAlignment="1">
      <alignment horizontal="center"/>
    </xf>
    <xf numFmtId="0" fontId="0" fillId="0" borderId="0" xfId="0" applyFill="1" applyAlignment="1">
      <alignment horizontal="center" wrapText="1"/>
    </xf>
    <xf numFmtId="0" fontId="0" fillId="0" borderId="29" xfId="0" applyFill="1" applyBorder="1" applyAlignment="1">
      <alignment horizontal="center" wrapText="1"/>
    </xf>
    <xf numFmtId="0" fontId="6" fillId="34" borderId="0" xfId="0" applyFont="1" applyFill="1" applyBorder="1" applyAlignment="1" applyProtection="1">
      <alignment horizontal="center" vertical="center" wrapText="1"/>
      <protection/>
    </xf>
    <xf numFmtId="0" fontId="6" fillId="34" borderId="0" xfId="0" applyFont="1" applyFill="1" applyAlignment="1" applyProtection="1">
      <alignment horizontal="center" vertical="center" wrapText="1"/>
      <protection/>
    </xf>
    <xf numFmtId="0" fontId="6" fillId="34" borderId="0" xfId="0" applyFont="1" applyFill="1" applyAlignment="1" applyProtection="1">
      <alignment horizontal="center"/>
      <protection/>
    </xf>
    <xf numFmtId="0" fontId="3" fillId="34" borderId="0" xfId="0" applyFont="1" applyFill="1" applyAlignment="1" applyProtection="1">
      <alignment horizontal="center"/>
      <protection/>
    </xf>
    <xf numFmtId="0" fontId="3" fillId="34" borderId="0" xfId="0" applyFont="1" applyFill="1" applyAlignment="1" applyProtection="1">
      <alignment/>
      <protection/>
    </xf>
    <xf numFmtId="0" fontId="3" fillId="34" borderId="0" xfId="0" applyFont="1" applyFill="1" applyBorder="1" applyAlignment="1" applyProtection="1">
      <alignment/>
      <protection/>
    </xf>
    <xf numFmtId="0" fontId="6" fillId="34" borderId="0" xfId="0" applyFont="1" applyFill="1" applyBorder="1" applyAlignment="1" applyProtection="1">
      <alignment horizontal="center"/>
      <protection/>
    </xf>
    <xf numFmtId="0" fontId="0" fillId="34" borderId="0" xfId="0" applyFill="1" applyAlignment="1">
      <alignment/>
    </xf>
    <xf numFmtId="0" fontId="33" fillId="34" borderId="0" xfId="0"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0" fontId="37" fillId="35" borderId="22" xfId="0" applyFont="1"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11" xfId="0" applyFill="1" applyBorder="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0" fontId="0" fillId="34" borderId="0" xfId="0" applyFill="1" applyAlignment="1" applyProtection="1">
      <alignment horizontal="center"/>
      <protection/>
    </xf>
    <xf numFmtId="0" fontId="3" fillId="34" borderId="0" xfId="0" applyFont="1" applyFill="1" applyBorder="1" applyAlignment="1">
      <alignment/>
    </xf>
    <xf numFmtId="0" fontId="3" fillId="34" borderId="0" xfId="0" applyFont="1" applyFill="1" applyAlignment="1">
      <alignment/>
    </xf>
    <xf numFmtId="0" fontId="0" fillId="34" borderId="11"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0" xfId="0" applyFill="1" applyBorder="1" applyAlignment="1">
      <alignment/>
    </xf>
    <xf numFmtId="0" fontId="0" fillId="34" borderId="0" xfId="0" applyFill="1" applyAlignment="1">
      <alignment horizontal="center"/>
    </xf>
    <xf numFmtId="0" fontId="0" fillId="34" borderId="11" xfId="0" applyFill="1" applyBorder="1" applyAlignment="1">
      <alignment/>
    </xf>
    <xf numFmtId="0" fontId="0" fillId="34" borderId="0" xfId="0" applyFill="1" applyAlignment="1">
      <alignment horizontal="center" wrapText="1"/>
    </xf>
    <xf numFmtId="3" fontId="0" fillId="38" borderId="0" xfId="0" applyNumberFormat="1" applyFont="1" applyFill="1" applyBorder="1" applyAlignment="1" applyProtection="1">
      <alignment horizontal="center"/>
      <protection hidden="1"/>
    </xf>
    <xf numFmtId="3" fontId="0" fillId="38" borderId="0" xfId="0" applyNumberFormat="1" applyFont="1" applyFill="1" applyBorder="1" applyAlignment="1" applyProtection="1">
      <alignment horizontal="center" wrapText="1"/>
      <protection hidden="1"/>
    </xf>
    <xf numFmtId="3" fontId="0" fillId="38" borderId="12" xfId="0" applyNumberFormat="1" applyFont="1" applyFill="1" applyBorder="1" applyAlignment="1" applyProtection="1">
      <alignment horizontal="center" wrapText="1"/>
      <protection hidden="1"/>
    </xf>
    <xf numFmtId="0" fontId="3" fillId="39" borderId="44" xfId="0" applyFont="1" applyFill="1" applyBorder="1" applyAlignment="1" applyProtection="1">
      <alignment horizontal="center" vertical="center" wrapText="1"/>
      <protection hidden="1"/>
    </xf>
    <xf numFmtId="0" fontId="3" fillId="39" borderId="21" xfId="0" applyFont="1" applyFill="1" applyBorder="1" applyAlignment="1" applyProtection="1">
      <alignment horizontal="center" vertical="center" wrapText="1"/>
      <protection hidden="1"/>
    </xf>
    <xf numFmtId="0" fontId="0" fillId="0" borderId="0" xfId="0" applyFont="1" applyFill="1" applyBorder="1" applyAlignment="1" applyProtection="1">
      <alignment/>
      <protection hidden="1"/>
    </xf>
    <xf numFmtId="0" fontId="54" fillId="33" borderId="0" xfId="0" applyFont="1" applyFill="1" applyAlignment="1">
      <alignment horizontal="center"/>
    </xf>
    <xf numFmtId="0" fontId="0" fillId="38" borderId="0" xfId="0" applyFill="1" applyBorder="1" applyAlignment="1" applyProtection="1">
      <alignment horizontal="left" shrinkToFit="1"/>
      <protection hidden="1"/>
    </xf>
    <xf numFmtId="0" fontId="11" fillId="38" borderId="0" xfId="0" applyFont="1" applyFill="1" applyBorder="1" applyAlignment="1" applyProtection="1">
      <alignment horizontal="left" shrinkToFit="1"/>
      <protection hidden="1"/>
    </xf>
    <xf numFmtId="0" fontId="0" fillId="38" borderId="0" xfId="0" applyFont="1" applyFill="1" applyBorder="1" applyAlignment="1" applyProtection="1">
      <alignment horizontal="left" shrinkToFit="1"/>
      <protection hidden="1"/>
    </xf>
    <xf numFmtId="0" fontId="22" fillId="0" borderId="47" xfId="0" applyFont="1" applyFill="1" applyBorder="1" applyAlignment="1" applyProtection="1">
      <alignment horizontal="center" vertical="center"/>
      <protection hidden="1"/>
    </xf>
    <xf numFmtId="0" fontId="22" fillId="0" borderId="48"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0" borderId="49" xfId="0" applyFont="1" applyFill="1" applyBorder="1" applyAlignment="1" applyProtection="1">
      <alignment horizontal="center" vertical="center"/>
      <protection hidden="1"/>
    </xf>
    <xf numFmtId="0" fontId="22" fillId="0" borderId="29" xfId="0" applyFont="1" applyFill="1" applyBorder="1" applyAlignment="1" applyProtection="1">
      <alignment horizontal="center" vertical="center"/>
      <protection hidden="1"/>
    </xf>
    <xf numFmtId="0" fontId="22" fillId="0" borderId="32" xfId="0" applyFont="1" applyFill="1" applyBorder="1" applyAlignment="1" applyProtection="1">
      <alignment horizontal="center" vertical="center"/>
      <protection hidden="1"/>
    </xf>
    <xf numFmtId="0" fontId="0" fillId="0" borderId="50" xfId="0" applyFont="1" applyBorder="1" applyAlignment="1" applyProtection="1">
      <alignment horizontal="center" vertical="center" wrapText="1"/>
      <protection hidden="1"/>
    </xf>
    <xf numFmtId="0" fontId="0" fillId="0" borderId="46" xfId="0" applyFont="1" applyBorder="1" applyAlignment="1" applyProtection="1">
      <alignment horizontal="center" vertical="center" wrapText="1"/>
      <protection hidden="1"/>
    </xf>
    <xf numFmtId="0" fontId="22" fillId="39" borderId="51" xfId="0" applyFont="1" applyFill="1" applyBorder="1" applyAlignment="1" applyProtection="1">
      <alignment horizontal="center" vertical="center" shrinkToFit="1"/>
      <protection hidden="1"/>
    </xf>
    <xf numFmtId="0" fontId="0" fillId="39" borderId="42" xfId="0" applyFill="1" applyBorder="1" applyAlignment="1">
      <alignment horizontal="center" vertical="center" shrinkToFit="1"/>
    </xf>
    <xf numFmtId="0" fontId="0" fillId="39" borderId="52" xfId="0" applyFill="1" applyBorder="1" applyAlignment="1">
      <alignment horizontal="center" vertical="center" shrinkToFit="1"/>
    </xf>
    <xf numFmtId="0" fontId="22" fillId="34" borderId="21" xfId="0" applyFont="1" applyFill="1" applyBorder="1" applyAlignment="1" applyProtection="1">
      <alignment horizontal="center" vertical="center" shrinkToFit="1"/>
      <protection hidden="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17" xfId="0" applyFont="1" applyBorder="1" applyAlignment="1" applyProtection="1">
      <alignment horizontal="center" vertical="center"/>
      <protection hidden="1"/>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10"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20" fillId="39" borderId="53" xfId="0" applyFont="1" applyFill="1" applyBorder="1" applyAlignment="1" applyProtection="1">
      <alignment horizontal="center" vertical="center" wrapText="1"/>
      <protection hidden="1"/>
    </xf>
    <xf numFmtId="0" fontId="20" fillId="39" borderId="31" xfId="0" applyFont="1" applyFill="1" applyBorder="1" applyAlignment="1">
      <alignment horizontal="center" vertical="center"/>
    </xf>
    <xf numFmtId="0" fontId="23" fillId="39" borderId="54" xfId="0" applyFont="1" applyFill="1" applyBorder="1" applyAlignment="1" applyProtection="1">
      <alignment horizontal="center" vertical="center" wrapText="1"/>
      <protection hidden="1"/>
    </xf>
    <xf numFmtId="0" fontId="0" fillId="39" borderId="55" xfId="0" applyFill="1" applyBorder="1" applyAlignment="1">
      <alignment/>
    </xf>
    <xf numFmtId="0" fontId="23" fillId="39" borderId="56" xfId="0" applyFont="1" applyFill="1" applyBorder="1" applyAlignment="1" applyProtection="1">
      <alignment horizontal="center"/>
      <protection hidden="1"/>
    </xf>
    <xf numFmtId="0" fontId="0" fillId="39" borderId="50" xfId="0" applyFill="1" applyBorder="1" applyAlignment="1">
      <alignment horizontal="center"/>
    </xf>
    <xf numFmtId="0" fontId="0" fillId="39" borderId="46" xfId="0" applyFill="1" applyBorder="1" applyAlignment="1">
      <alignment horizontal="center"/>
    </xf>
    <xf numFmtId="0" fontId="26" fillId="39" borderId="57" xfId="0" applyFont="1" applyFill="1" applyBorder="1" applyAlignment="1" applyProtection="1">
      <alignment horizontal="center" vertical="center" textRotation="90"/>
      <protection hidden="1"/>
    </xf>
    <xf numFmtId="0" fontId="0" fillId="39" borderId="26" xfId="0" applyFill="1" applyBorder="1" applyAlignment="1">
      <alignment/>
    </xf>
    <xf numFmtId="0" fontId="26" fillId="39" borderId="58" xfId="0" applyFont="1" applyFill="1" applyBorder="1" applyAlignment="1" applyProtection="1">
      <alignment horizontal="center" vertical="center" textRotation="90" wrapText="1"/>
      <protection hidden="1"/>
    </xf>
    <xf numFmtId="0" fontId="0" fillId="39" borderId="28" xfId="0" applyFill="1" applyBorder="1" applyAlignment="1">
      <alignment/>
    </xf>
    <xf numFmtId="0" fontId="23" fillId="39" borderId="47" xfId="0" applyFont="1" applyFill="1" applyBorder="1" applyAlignment="1" applyProtection="1">
      <alignment horizontal="center"/>
      <protection hidden="1"/>
    </xf>
    <xf numFmtId="0" fontId="0" fillId="39" borderId="47" xfId="0" applyFill="1" applyBorder="1" applyAlignment="1">
      <alignment horizontal="center"/>
    </xf>
    <xf numFmtId="0" fontId="23" fillId="39" borderId="59" xfId="0" applyFont="1" applyFill="1" applyBorder="1" applyAlignment="1" applyProtection="1">
      <alignment horizontal="center"/>
      <protection hidden="1"/>
    </xf>
    <xf numFmtId="0" fontId="0" fillId="39" borderId="48" xfId="0" applyFill="1" applyBorder="1" applyAlignment="1">
      <alignment horizontal="center"/>
    </xf>
    <xf numFmtId="0" fontId="26" fillId="39" borderId="53" xfId="0" applyFont="1" applyFill="1" applyBorder="1" applyAlignment="1" applyProtection="1">
      <alignment horizontal="center" vertical="center" textRotation="90" wrapText="1"/>
      <protection hidden="1"/>
    </xf>
    <xf numFmtId="0" fontId="0" fillId="39" borderId="31" xfId="0" applyFill="1" applyBorder="1" applyAlignment="1">
      <alignment/>
    </xf>
    <xf numFmtId="0" fontId="0" fillId="0" borderId="0" xfId="0" applyFill="1" applyAlignment="1">
      <alignment horizontal="center" vertical="center"/>
    </xf>
    <xf numFmtId="0" fontId="0" fillId="39" borderId="0" xfId="0" applyFont="1" applyFill="1" applyBorder="1" applyAlignment="1" applyProtection="1">
      <alignment horizontal="left" vertical="center"/>
      <protection hidden="1"/>
    </xf>
    <xf numFmtId="0" fontId="0" fillId="39" borderId="0" xfId="0" applyFont="1" applyFill="1" applyBorder="1" applyAlignment="1" applyProtection="1">
      <alignment horizontal="center" vertical="center"/>
      <protection hidden="1"/>
    </xf>
    <xf numFmtId="0" fontId="0" fillId="39" borderId="12"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protection hidden="1"/>
    </xf>
    <xf numFmtId="0" fontId="0" fillId="0" borderId="16" xfId="0" applyBorder="1" applyAlignment="1">
      <alignment horizontal="center"/>
    </xf>
    <xf numFmtId="0" fontId="12" fillId="0" borderId="21" xfId="58" applyFont="1" applyBorder="1" applyAlignment="1" applyProtection="1">
      <alignment horizontal="center"/>
      <protection hidden="1"/>
    </xf>
    <xf numFmtId="0" fontId="12" fillId="0" borderId="22" xfId="58" applyFont="1" applyBorder="1" applyAlignment="1" applyProtection="1">
      <alignment horizontal="center"/>
      <protection hidden="1"/>
    </xf>
    <xf numFmtId="0" fontId="12" fillId="0" borderId="23" xfId="58" applyFont="1" applyBorder="1" applyAlignment="1" applyProtection="1">
      <alignment horizontal="center"/>
      <protection hidden="1"/>
    </xf>
    <xf numFmtId="0" fontId="0" fillId="0" borderId="44" xfId="58" applyBorder="1" applyAlignment="1" applyProtection="1">
      <alignment horizontal="center"/>
      <protection hidden="1"/>
    </xf>
    <xf numFmtId="0" fontId="0" fillId="0" borderId="10" xfId="58" applyBorder="1" applyAlignment="1" applyProtection="1">
      <alignment horizontal="center"/>
      <protection hidden="1"/>
    </xf>
    <xf numFmtId="0" fontId="0" fillId="0" borderId="11" xfId="58" applyBorder="1" applyAlignment="1" applyProtection="1">
      <alignment horizontal="center"/>
      <protection hidden="1"/>
    </xf>
    <xf numFmtId="0" fontId="0" fillId="0" borderId="12" xfId="58" applyBorder="1" applyAlignment="1" applyProtection="1">
      <alignment horizontal="center"/>
      <protection hidden="1"/>
    </xf>
    <xf numFmtId="0" fontId="0" fillId="0" borderId="14" xfId="58" applyBorder="1" applyAlignment="1" applyProtection="1">
      <alignment horizontal="center"/>
      <protection hidden="1"/>
    </xf>
    <xf numFmtId="0" fontId="0" fillId="0" borderId="13" xfId="58" applyBorder="1" applyAlignment="1" applyProtection="1">
      <alignment horizontal="center"/>
      <protection hidden="1"/>
    </xf>
    <xf numFmtId="0" fontId="0" fillId="0" borderId="21" xfId="58" applyFont="1" applyBorder="1" applyAlignment="1" applyProtection="1">
      <alignment horizontal="center"/>
      <protection hidden="1"/>
    </xf>
    <xf numFmtId="0" fontId="0" fillId="0" borderId="23" xfId="58" applyFont="1" applyBorder="1" applyAlignment="1" applyProtection="1">
      <alignment horizontal="center"/>
      <protection hidden="1"/>
    </xf>
    <xf numFmtId="0" fontId="11" fillId="0" borderId="21" xfId="58" applyFont="1" applyBorder="1" applyAlignment="1" applyProtection="1">
      <alignment horizontal="center"/>
      <protection hidden="1"/>
    </xf>
    <xf numFmtId="0" fontId="11" fillId="0" borderId="23" xfId="58" applyFont="1" applyBorder="1" applyAlignment="1" applyProtection="1">
      <alignment horizontal="center"/>
      <protection hidden="1"/>
    </xf>
    <xf numFmtId="0" fontId="0" fillId="0" borderId="21" xfId="58" applyBorder="1" applyAlignment="1" applyProtection="1">
      <alignment horizontal="center"/>
      <protection hidden="1"/>
    </xf>
    <xf numFmtId="0" fontId="0" fillId="0" borderId="22" xfId="58" applyBorder="1" applyAlignment="1" applyProtection="1">
      <alignment horizontal="center"/>
      <protection hidden="1"/>
    </xf>
    <xf numFmtId="0" fontId="0" fillId="0" borderId="23" xfId="58" applyBorder="1" applyAlignment="1" applyProtection="1">
      <alignment horizontal="center"/>
      <protection hidden="1"/>
    </xf>
    <xf numFmtId="0" fontId="12" fillId="0" borderId="0" xfId="58" applyFont="1" applyBorder="1" applyAlignment="1" applyProtection="1">
      <alignment horizontal="center"/>
      <protection hidden="1"/>
    </xf>
    <xf numFmtId="0" fontId="0" fillId="0" borderId="21" xfId="58" applyBorder="1" applyAlignment="1" applyProtection="1">
      <alignment horizontal="center" vertical="center"/>
      <protection hidden="1"/>
    </xf>
    <xf numFmtId="0" fontId="0" fillId="0" borderId="23" xfId="58" applyBorder="1" applyAlignment="1" applyProtection="1">
      <alignment horizontal="center" vertical="center"/>
      <protection hidden="1"/>
    </xf>
    <xf numFmtId="0" fontId="0" fillId="0" borderId="22" xfId="58"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Dokumentacija za provođenje natjecanja"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DDDDD"/>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UDIO SEKTORA U UKUPNOM ULOVU</a:t>
            </a:r>
          </a:p>
        </c:rich>
      </c:tx>
      <c:layout>
        <c:manualLayout>
          <c:xMode val="factor"/>
          <c:yMode val="factor"/>
          <c:x val="0.006"/>
          <c:y val="0"/>
        </c:manualLayout>
      </c:layout>
      <c:spPr>
        <a:noFill/>
        <a:ln>
          <a:noFill/>
        </a:ln>
      </c:spPr>
    </c:title>
    <c:view3D>
      <c:rotX val="15"/>
      <c:hPercent val="100"/>
      <c:rotY val="0"/>
      <c:depthPercent val="100"/>
      <c:rAngAx val="1"/>
    </c:view3D>
    <c:plotArea>
      <c:layout>
        <c:manualLayout>
          <c:xMode val="edge"/>
          <c:yMode val="edge"/>
          <c:x val="0.23025"/>
          <c:y val="0.38325"/>
          <c:w val="0.4745"/>
          <c:h val="0.363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Lit>
              <c:ptCount val="5"/>
              <c:pt idx="0">
                <c:v>A</c:v>
              </c:pt>
              <c:pt idx="1">
                <c:v>B</c:v>
              </c:pt>
              <c:pt idx="2">
                <c:v>C</c:v>
              </c:pt>
              <c:pt idx="3">
                <c:v>D</c:v>
              </c:pt>
              <c:pt idx="4">
                <c:v>E</c:v>
              </c:pt>
            </c:strLit>
          </c:cat>
          <c:val>
            <c:numRef>
              <c:f>('Analiza natjecanja '!$U$23,'Analiza natjecanja '!$U$31,'Analiza natjecanja '!$U$37,'Analiza natjecanja '!$U$45,'Analiza natjecanja '!$U$53)</c:f>
              <c:numCache/>
            </c:numRef>
          </c:val>
        </c:ser>
      </c:pie3DChart>
      <c:spPr>
        <a:noFill/>
        <a:ln>
          <a:noFill/>
        </a:ln>
      </c:spPr>
    </c:plotArea>
    <c:legend>
      <c:legendPos val="r"/>
      <c:layout>
        <c:manualLayout>
          <c:xMode val="edge"/>
          <c:yMode val="edge"/>
          <c:x val="0.937"/>
          <c:y val="0.37175"/>
          <c:w val="0.057"/>
          <c:h val="0.38325"/>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ANALIZA ULOVA PO SEKTORIMA</a:t>
            </a:r>
          </a:p>
        </c:rich>
      </c:tx>
      <c:layout>
        <c:manualLayout>
          <c:xMode val="factor"/>
          <c:yMode val="factor"/>
          <c:x val="0.004"/>
          <c:y val="0"/>
        </c:manualLayout>
      </c:layout>
      <c:spPr>
        <a:noFill/>
        <a:ln>
          <a:noFill/>
        </a:ln>
      </c:spPr>
    </c:title>
    <c:view3D>
      <c:rotX val="15"/>
      <c:hPercent val="52"/>
      <c:rotY val="20"/>
      <c:depthPercent val="100"/>
      <c:rAngAx val="1"/>
    </c:view3D>
    <c:plotArea>
      <c:layout>
        <c:manualLayout>
          <c:xMode val="edge"/>
          <c:yMode val="edge"/>
          <c:x val="0"/>
          <c:y val="0.20675"/>
          <c:w val="0.88625"/>
          <c:h val="0.79325"/>
        </c:manualLayout>
      </c:layout>
      <c:bar3DChart>
        <c:barDir val="col"/>
        <c:grouping val="clustered"/>
        <c:varyColors val="0"/>
        <c:ser>
          <c:idx val="0"/>
          <c:order val="0"/>
          <c:tx>
            <c:strRef>
              <c:f>'Analiza natjecanja '!$U$61</c:f>
              <c:strCache>
                <c:ptCount val="1"/>
                <c:pt idx="0">
                  <c:v>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'!$U$63:$U$66</c:f>
              <c:numCache/>
            </c:numRef>
          </c:val>
          <c:shape val="box"/>
        </c:ser>
        <c:ser>
          <c:idx val="1"/>
          <c:order val="1"/>
          <c:tx>
            <c:strRef>
              <c:f>'Analiza natjecanja '!$V$61</c:f>
              <c:strCache>
                <c:ptCount val="1"/>
                <c:pt idx="0">
                  <c:v>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'!$V$63:$V$66</c:f>
              <c:numCache/>
            </c:numRef>
          </c:val>
          <c:shape val="box"/>
        </c:ser>
        <c:ser>
          <c:idx val="2"/>
          <c:order val="2"/>
          <c:tx>
            <c:strRef>
              <c:f>'Analiza natjecanja '!$W$61</c:f>
              <c:strCache>
                <c:ptCount val="1"/>
                <c:pt idx="0">
                  <c:v>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'!$W$63:$W$66</c:f>
              <c:numCache/>
            </c:numRef>
          </c:val>
          <c:shape val="box"/>
        </c:ser>
        <c:ser>
          <c:idx val="3"/>
          <c:order val="3"/>
          <c:tx>
            <c:strRef>
              <c:f>'Analiza natjecanja '!$X$61</c:f>
              <c:strCache>
                <c:ptCount val="1"/>
                <c:pt idx="0">
                  <c:v>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'!$X$63:$X$66</c:f>
              <c:numCache/>
            </c:numRef>
          </c:val>
          <c:shape val="box"/>
        </c:ser>
        <c:ser>
          <c:idx val="4"/>
          <c:order val="4"/>
          <c:tx>
            <c:strRef>
              <c:f>'Analiza natjecanja '!$Y$61</c:f>
              <c:strCache>
                <c:ptCount val="1"/>
                <c:pt idx="0">
                  <c:v>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'!$Y$63:$Y$66</c:f>
              <c:numCache/>
            </c:numRef>
          </c:val>
          <c:shape val="box"/>
        </c:ser>
        <c:gapWidth val="100"/>
        <c:shape val="box"/>
        <c:axId val="54168765"/>
        <c:axId val="17756838"/>
      </c:bar3DChart>
      <c:catAx>
        <c:axId val="5416876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7756838"/>
        <c:crosses val="autoZero"/>
        <c:auto val="1"/>
        <c:lblOffset val="100"/>
        <c:tickLblSkip val="1"/>
        <c:noMultiLvlLbl val="0"/>
      </c:catAx>
      <c:valAx>
        <c:axId val="177568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68765"/>
        <c:crossesAt val="1"/>
        <c:crossBetween val="between"/>
        <c:dispUnits/>
      </c:valAx>
      <c:spPr>
        <a:noFill/>
        <a:ln>
          <a:noFill/>
        </a:ln>
      </c:spPr>
    </c:plotArea>
    <c:legend>
      <c:legendPos val="r"/>
      <c:layout>
        <c:manualLayout>
          <c:xMode val="edge"/>
          <c:yMode val="edge"/>
          <c:x val="0.937"/>
          <c:y val="0.38975"/>
          <c:w val="0.057"/>
          <c:h val="0.35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625"/>
          <c:h val="0.98425"/>
        </c:manualLayout>
      </c:layout>
      <c:barChart>
        <c:barDir val="bar"/>
        <c:grouping val="clustered"/>
        <c:varyColors val="0"/>
        <c:ser>
          <c:idx val="0"/>
          <c:order val="0"/>
          <c:tx>
            <c:v>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težine'!$D$3:$D$14</c:f>
              <c:numCache/>
            </c:numRef>
          </c:val>
        </c:ser>
        <c:ser>
          <c:idx val="1"/>
          <c:order val="1"/>
          <c:tx>
            <c:v>B</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težine'!$F$3:$F$14</c:f>
              <c:numCache/>
            </c:numRef>
          </c:val>
        </c:ser>
        <c:ser>
          <c:idx val="2"/>
          <c:order val="2"/>
          <c:tx>
            <c:v>C</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težine'!$H$3:$H$14</c:f>
              <c:numCache/>
            </c:numRef>
          </c:val>
        </c:ser>
        <c:ser>
          <c:idx val="3"/>
          <c:order val="3"/>
          <c:tx>
            <c:v>D</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težine'!$J$3:$J$14</c:f>
              <c:numCache/>
            </c:numRef>
          </c:val>
        </c:ser>
        <c:ser>
          <c:idx val="4"/>
          <c:order val="4"/>
          <c:tx>
            <c:v>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težine'!$L$3:$L$14</c:f>
              <c:numCache/>
            </c:numRef>
          </c:val>
        </c:ser>
        <c:gapWidth val="100"/>
        <c:axId val="25593815"/>
        <c:axId val="29017744"/>
      </c:barChart>
      <c:catAx>
        <c:axId val="25593815"/>
        <c:scaling>
          <c:orientation val="maxMin"/>
        </c:scaling>
        <c:axPos val="l"/>
        <c:majorGridlines>
          <c:spPr>
            <a:ln w="3175">
              <a:solidFill>
                <a:srgbClr val="000000"/>
              </a:solidFill>
            </a:ln>
          </c:spPr>
        </c:majorGridlines>
        <c:delete val="1"/>
        <c:majorTickMark val="out"/>
        <c:minorTickMark val="none"/>
        <c:tickLblPos val="nextTo"/>
        <c:crossAx val="29017744"/>
        <c:crosses val="autoZero"/>
        <c:auto val="1"/>
        <c:lblOffset val="100"/>
        <c:tickLblSkip val="1"/>
        <c:noMultiLvlLbl val="0"/>
      </c:catAx>
      <c:valAx>
        <c:axId val="29017744"/>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25593815"/>
        <c:crossesAt val="1"/>
        <c:crossBetween val="between"/>
        <c:dispUnits/>
      </c:valAx>
      <c:spPr>
        <a:noFill/>
        <a:ln>
          <a:noFill/>
        </a:ln>
      </c:spPr>
    </c:plotArea>
    <c:legend>
      <c:legendPos val="r"/>
      <c:layout>
        <c:manualLayout>
          <c:xMode val="edge"/>
          <c:yMode val="edge"/>
          <c:x val="0.781"/>
          <c:y val="0.2825"/>
          <c:w val="0.07575"/>
          <c:h val="0.10675"/>
        </c:manualLayout>
      </c:layout>
      <c:overlay val="0"/>
      <c:spPr>
        <a:noFill/>
        <a:ln w="3175">
          <a:no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4</xdr:row>
      <xdr:rowOff>95250</xdr:rowOff>
    </xdr:from>
    <xdr:to>
      <xdr:col>13</xdr:col>
      <xdr:colOff>400050</xdr:colOff>
      <xdr:row>12</xdr:row>
      <xdr:rowOff>85725</xdr:rowOff>
    </xdr:to>
    <xdr:pic macro="[0]!povratstanjaIliga">
      <xdr:nvPicPr>
        <xdr:cNvPr id="1" name="Picture 4" descr="grb HŠRS 2 bolji"/>
        <xdr:cNvPicPr preferRelativeResize="1">
          <a:picLocks noChangeAspect="1"/>
        </xdr:cNvPicPr>
      </xdr:nvPicPr>
      <xdr:blipFill>
        <a:blip r:embed="rId1"/>
        <a:stretch>
          <a:fillRect/>
        </a:stretch>
      </xdr:blipFill>
      <xdr:spPr>
        <a:xfrm>
          <a:off x="7905750" y="981075"/>
          <a:ext cx="1628775" cy="1590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7</xdr:col>
      <xdr:colOff>104775</xdr:colOff>
      <xdr:row>36</xdr:row>
      <xdr:rowOff>9525</xdr:rowOff>
    </xdr:to>
    <xdr:graphicFrame>
      <xdr:nvGraphicFramePr>
        <xdr:cNvPr id="1" name="Chart 6"/>
        <xdr:cNvGraphicFramePr/>
      </xdr:nvGraphicFramePr>
      <xdr:xfrm>
        <a:off x="0" y="3552825"/>
        <a:ext cx="4924425" cy="2571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7</xdr:col>
      <xdr:colOff>104775</xdr:colOff>
      <xdr:row>53</xdr:row>
      <xdr:rowOff>38100</xdr:rowOff>
    </xdr:to>
    <xdr:graphicFrame>
      <xdr:nvGraphicFramePr>
        <xdr:cNvPr id="2" name="Chart 7"/>
        <xdr:cNvGraphicFramePr/>
      </xdr:nvGraphicFramePr>
      <xdr:xfrm>
        <a:off x="0" y="6200775"/>
        <a:ext cx="4924425" cy="28956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361950</xdr:colOff>
      <xdr:row>1</xdr:row>
      <xdr:rowOff>0</xdr:rowOff>
    </xdr:from>
    <xdr:to>
      <xdr:col>7</xdr:col>
      <xdr:colOff>457200</xdr:colOff>
      <xdr:row>5</xdr:row>
      <xdr:rowOff>142875</xdr:rowOff>
    </xdr:to>
    <xdr:pic>
      <xdr:nvPicPr>
        <xdr:cNvPr id="3" name="Picture 9" descr="grb HŠRS 3"/>
        <xdr:cNvPicPr preferRelativeResize="1">
          <a:picLocks noChangeAspect="1"/>
        </xdr:cNvPicPr>
      </xdr:nvPicPr>
      <xdr:blipFill>
        <a:blip r:embed="rId3"/>
        <a:stretch>
          <a:fillRect/>
        </a:stretch>
      </xdr:blipFill>
      <xdr:spPr>
        <a:xfrm>
          <a:off x="4467225" y="161925"/>
          <a:ext cx="80962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161925</xdr:rowOff>
    </xdr:from>
    <xdr:to>
      <xdr:col>18</xdr:col>
      <xdr:colOff>571500</xdr:colOff>
      <xdr:row>14</xdr:row>
      <xdr:rowOff>152400</xdr:rowOff>
    </xdr:to>
    <xdr:graphicFrame>
      <xdr:nvGraphicFramePr>
        <xdr:cNvPr id="1" name="Chart 2"/>
        <xdr:cNvGraphicFramePr/>
      </xdr:nvGraphicFramePr>
      <xdr:xfrm>
        <a:off x="12144375" y="161925"/>
        <a:ext cx="6000750" cy="13487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3</xdr:row>
      <xdr:rowOff>28575</xdr:rowOff>
    </xdr:from>
    <xdr:to>
      <xdr:col>2</xdr:col>
      <xdr:colOff>209550</xdr:colOff>
      <xdr:row>7</xdr:row>
      <xdr:rowOff>114300</xdr:rowOff>
    </xdr:to>
    <xdr:pic>
      <xdr:nvPicPr>
        <xdr:cNvPr id="1" name="Picture 1" descr="grb HŠRS 3"/>
        <xdr:cNvPicPr preferRelativeResize="1">
          <a:picLocks noChangeAspect="1"/>
        </xdr:cNvPicPr>
      </xdr:nvPicPr>
      <xdr:blipFill>
        <a:blip r:embed="rId1"/>
        <a:stretch>
          <a:fillRect/>
        </a:stretch>
      </xdr:blipFill>
      <xdr:spPr>
        <a:xfrm>
          <a:off x="695325" y="514350"/>
          <a:ext cx="790575" cy="800100"/>
        </a:xfrm>
        <a:prstGeom prst="rect">
          <a:avLst/>
        </a:prstGeom>
        <a:noFill/>
        <a:ln w="9525" cmpd="sng">
          <a:noFill/>
        </a:ln>
      </xdr:spPr>
    </xdr:pic>
    <xdr:clientData/>
  </xdr:twoCellAnchor>
  <xdr:twoCellAnchor editAs="oneCell">
    <xdr:from>
      <xdr:col>1</xdr:col>
      <xdr:colOff>95250</xdr:colOff>
      <xdr:row>26</xdr:row>
      <xdr:rowOff>47625</xdr:rowOff>
    </xdr:from>
    <xdr:to>
      <xdr:col>2</xdr:col>
      <xdr:colOff>209550</xdr:colOff>
      <xdr:row>30</xdr:row>
      <xdr:rowOff>123825</xdr:rowOff>
    </xdr:to>
    <xdr:pic>
      <xdr:nvPicPr>
        <xdr:cNvPr id="2" name="Picture 2" descr="grb HŠRS 3"/>
        <xdr:cNvPicPr preferRelativeResize="1">
          <a:picLocks noChangeAspect="1"/>
        </xdr:cNvPicPr>
      </xdr:nvPicPr>
      <xdr:blipFill>
        <a:blip r:embed="rId1"/>
        <a:stretch>
          <a:fillRect/>
        </a:stretch>
      </xdr:blipFill>
      <xdr:spPr>
        <a:xfrm>
          <a:off x="704850" y="5781675"/>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666750</xdr:colOff>
      <xdr:row>0</xdr:row>
      <xdr:rowOff>28575</xdr:rowOff>
    </xdr:from>
    <xdr:to>
      <xdr:col>18</xdr:col>
      <xdr:colOff>876300</xdr:colOff>
      <xdr:row>0</xdr:row>
      <xdr:rowOff>228600</xdr:rowOff>
    </xdr:to>
    <xdr:pic macro="[0]!jedinstvenistartnibrojIliga">
      <xdr:nvPicPr>
        <xdr:cNvPr id="1" name="Picture 23" descr="grb HŠRS 3"/>
        <xdr:cNvPicPr preferRelativeResize="1">
          <a:picLocks noChangeAspect="1"/>
        </xdr:cNvPicPr>
      </xdr:nvPicPr>
      <xdr:blipFill>
        <a:blip r:embed="rId1"/>
        <a:stretch>
          <a:fillRect/>
        </a:stretch>
      </xdr:blipFill>
      <xdr:spPr>
        <a:xfrm>
          <a:off x="9925050" y="28575"/>
          <a:ext cx="209550" cy="200025"/>
        </a:xfrm>
        <a:prstGeom prst="rect">
          <a:avLst/>
        </a:prstGeom>
        <a:noFill/>
        <a:ln w="9525" cmpd="sng">
          <a:noFill/>
        </a:ln>
      </xdr:spPr>
    </xdr:pic>
    <xdr:clientData/>
  </xdr:twoCellAnchor>
  <xdr:twoCellAnchor editAs="oneCell">
    <xdr:from>
      <xdr:col>25</xdr:col>
      <xdr:colOff>47625</xdr:colOff>
      <xdr:row>0</xdr:row>
      <xdr:rowOff>47625</xdr:rowOff>
    </xdr:from>
    <xdr:to>
      <xdr:col>25</xdr:col>
      <xdr:colOff>238125</xdr:colOff>
      <xdr:row>0</xdr:row>
      <xdr:rowOff>228600</xdr:rowOff>
    </xdr:to>
    <xdr:pic macro="[0]!startnibrojprekidstazeIliga">
      <xdr:nvPicPr>
        <xdr:cNvPr id="2" name="Picture 24" descr="grb HŠRS 3"/>
        <xdr:cNvPicPr preferRelativeResize="1">
          <a:picLocks noChangeAspect="1"/>
        </xdr:cNvPicPr>
      </xdr:nvPicPr>
      <xdr:blipFill>
        <a:blip r:embed="rId1"/>
        <a:stretch>
          <a:fillRect/>
        </a:stretch>
      </xdr:blipFill>
      <xdr:spPr>
        <a:xfrm>
          <a:off x="10668000" y="47625"/>
          <a:ext cx="190500" cy="180975"/>
        </a:xfrm>
        <a:prstGeom prst="rect">
          <a:avLst/>
        </a:prstGeom>
        <a:noFill/>
        <a:ln w="9525" cmpd="sng">
          <a:noFill/>
        </a:ln>
      </xdr:spPr>
    </xdr:pic>
    <xdr:clientData/>
  </xdr:twoCellAnchor>
  <xdr:twoCellAnchor editAs="oneCell">
    <xdr:from>
      <xdr:col>2</xdr:col>
      <xdr:colOff>47625</xdr:colOff>
      <xdr:row>0</xdr:row>
      <xdr:rowOff>38100</xdr:rowOff>
    </xdr:from>
    <xdr:to>
      <xdr:col>2</xdr:col>
      <xdr:colOff>257175</xdr:colOff>
      <xdr:row>0</xdr:row>
      <xdr:rowOff>238125</xdr:rowOff>
    </xdr:to>
    <xdr:pic macro="[0]!prijavaekipa">
      <xdr:nvPicPr>
        <xdr:cNvPr id="3" name="Picture 55" descr="grb HŠRS 3"/>
        <xdr:cNvPicPr preferRelativeResize="1">
          <a:picLocks noChangeAspect="1"/>
        </xdr:cNvPicPr>
      </xdr:nvPicPr>
      <xdr:blipFill>
        <a:blip r:embed="rId1"/>
        <a:stretch>
          <a:fillRect/>
        </a:stretch>
      </xdr:blipFill>
      <xdr:spPr>
        <a:xfrm>
          <a:off x="1304925" y="38100"/>
          <a:ext cx="209550" cy="200025"/>
        </a:xfrm>
        <a:prstGeom prst="rect">
          <a:avLst/>
        </a:prstGeom>
        <a:noFill/>
        <a:ln w="9525" cmpd="sng">
          <a:noFill/>
        </a:ln>
      </xdr:spPr>
    </xdr:pic>
    <xdr:clientData/>
  </xdr:twoCellAnchor>
  <xdr:twoCellAnchor editAs="oneCell">
    <xdr:from>
      <xdr:col>2</xdr:col>
      <xdr:colOff>1009650</xdr:colOff>
      <xdr:row>0</xdr:row>
      <xdr:rowOff>38100</xdr:rowOff>
    </xdr:from>
    <xdr:to>
      <xdr:col>2</xdr:col>
      <xdr:colOff>1200150</xdr:colOff>
      <xdr:row>0</xdr:row>
      <xdr:rowOff>228600</xdr:rowOff>
    </xdr:to>
    <xdr:pic macro="[0]!izvlačenjebrojeva">
      <xdr:nvPicPr>
        <xdr:cNvPr id="4" name="Picture 56" descr="grb HŠRS 3"/>
        <xdr:cNvPicPr preferRelativeResize="1">
          <a:picLocks noChangeAspect="1"/>
        </xdr:cNvPicPr>
      </xdr:nvPicPr>
      <xdr:blipFill>
        <a:blip r:embed="rId1"/>
        <a:stretch>
          <a:fillRect/>
        </a:stretch>
      </xdr:blipFill>
      <xdr:spPr>
        <a:xfrm>
          <a:off x="2266950" y="38100"/>
          <a:ext cx="1905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xdr:row>
      <xdr:rowOff>0</xdr:rowOff>
    </xdr:from>
    <xdr:to>
      <xdr:col>8</xdr:col>
      <xdr:colOff>390525</xdr:colOff>
      <xdr:row>5</xdr:row>
      <xdr:rowOff>152400</xdr:rowOff>
    </xdr:to>
    <xdr:pic>
      <xdr:nvPicPr>
        <xdr:cNvPr id="1" name="Picture 14" descr="grb HŠRS 3"/>
        <xdr:cNvPicPr preferRelativeResize="1">
          <a:picLocks noChangeAspect="1"/>
        </xdr:cNvPicPr>
      </xdr:nvPicPr>
      <xdr:blipFill>
        <a:blip r:embed="rId1"/>
        <a:stretch>
          <a:fillRect/>
        </a:stretch>
      </xdr:blipFill>
      <xdr:spPr>
        <a:xfrm>
          <a:off x="4438650" y="161925"/>
          <a:ext cx="81915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314325</xdr:rowOff>
    </xdr:from>
    <xdr:to>
      <xdr:col>0</xdr:col>
      <xdr:colOff>514350</xdr:colOff>
      <xdr:row>0</xdr:row>
      <xdr:rowOff>2924175</xdr:rowOff>
    </xdr:to>
    <xdr:pic macro="[0]!proglašenjerezultata">
      <xdr:nvPicPr>
        <xdr:cNvPr id="1" name="Picture 3" descr="grb HŠRS 3"/>
        <xdr:cNvPicPr preferRelativeResize="1">
          <a:picLocks noChangeAspect="1"/>
        </xdr:cNvPicPr>
      </xdr:nvPicPr>
      <xdr:blipFill>
        <a:blip r:embed="rId1"/>
        <a:stretch>
          <a:fillRect/>
        </a:stretch>
      </xdr:blipFill>
      <xdr:spPr>
        <a:xfrm>
          <a:off x="114300" y="314325"/>
          <a:ext cx="400050" cy="2609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66675</xdr:rowOff>
    </xdr:from>
    <xdr:to>
      <xdr:col>3</xdr:col>
      <xdr:colOff>828675</xdr:colOff>
      <xdr:row>5</xdr:row>
      <xdr:rowOff>38100</xdr:rowOff>
    </xdr:to>
    <xdr:pic macro="[0]!proglašenjerezultata">
      <xdr:nvPicPr>
        <xdr:cNvPr id="1" name="Picture 1" descr="grb HŠRS 3"/>
        <xdr:cNvPicPr preferRelativeResize="1">
          <a:picLocks noChangeAspect="1"/>
        </xdr:cNvPicPr>
      </xdr:nvPicPr>
      <xdr:blipFill>
        <a:blip r:embed="rId1"/>
        <a:stretch>
          <a:fillRect/>
        </a:stretch>
      </xdr:blipFill>
      <xdr:spPr>
        <a:xfrm>
          <a:off x="1323975" y="257175"/>
          <a:ext cx="82867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1</xdr:row>
      <xdr:rowOff>9525</xdr:rowOff>
    </xdr:from>
    <xdr:to>
      <xdr:col>5</xdr:col>
      <xdr:colOff>552450</xdr:colOff>
      <xdr:row>5</xdr:row>
      <xdr:rowOff>152400</xdr:rowOff>
    </xdr:to>
    <xdr:pic macro="[0]!sektorskiIliga">
      <xdr:nvPicPr>
        <xdr:cNvPr id="1" name="Picture 4" descr="grb HŠRS 3"/>
        <xdr:cNvPicPr preferRelativeResize="1">
          <a:picLocks noChangeAspect="1"/>
        </xdr:cNvPicPr>
      </xdr:nvPicPr>
      <xdr:blipFill>
        <a:blip r:embed="rId1"/>
        <a:stretch>
          <a:fillRect/>
        </a:stretch>
      </xdr:blipFill>
      <xdr:spPr>
        <a:xfrm>
          <a:off x="4438650" y="171450"/>
          <a:ext cx="8096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0</xdr:row>
      <xdr:rowOff>152400</xdr:rowOff>
    </xdr:from>
    <xdr:to>
      <xdr:col>5</xdr:col>
      <xdr:colOff>714375</xdr:colOff>
      <xdr:row>5</xdr:row>
      <xdr:rowOff>152400</xdr:rowOff>
    </xdr:to>
    <xdr:pic macro="[0]!ekipniIliga">
      <xdr:nvPicPr>
        <xdr:cNvPr id="1" name="Picture 7" descr="grb HŠRS 3"/>
        <xdr:cNvPicPr preferRelativeResize="1">
          <a:picLocks noChangeAspect="1"/>
        </xdr:cNvPicPr>
      </xdr:nvPicPr>
      <xdr:blipFill>
        <a:blip r:embed="rId1"/>
        <a:stretch>
          <a:fillRect/>
        </a:stretch>
      </xdr:blipFill>
      <xdr:spPr>
        <a:xfrm>
          <a:off x="4429125" y="152400"/>
          <a:ext cx="82867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152400</xdr:rowOff>
    </xdr:from>
    <xdr:to>
      <xdr:col>7</xdr:col>
      <xdr:colOff>390525</xdr:colOff>
      <xdr:row>5</xdr:row>
      <xdr:rowOff>142875</xdr:rowOff>
    </xdr:to>
    <xdr:pic macro="[0]!pojedinačniIliga">
      <xdr:nvPicPr>
        <xdr:cNvPr id="1" name="Picture 7" descr="grb HŠRS 3"/>
        <xdr:cNvPicPr preferRelativeResize="1">
          <a:picLocks noChangeAspect="1"/>
        </xdr:cNvPicPr>
      </xdr:nvPicPr>
      <xdr:blipFill>
        <a:blip r:embed="rId1"/>
        <a:stretch>
          <a:fillRect/>
        </a:stretch>
      </xdr:blipFill>
      <xdr:spPr>
        <a:xfrm>
          <a:off x="4686300" y="152400"/>
          <a:ext cx="8191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904875</xdr:colOff>
      <xdr:row>1</xdr:row>
      <xdr:rowOff>9525</xdr:rowOff>
    </xdr:from>
    <xdr:to>
      <xdr:col>6</xdr:col>
      <xdr:colOff>781050</xdr:colOff>
      <xdr:row>6</xdr:row>
      <xdr:rowOff>0</xdr:rowOff>
    </xdr:to>
    <xdr:pic macro="[0]!konačnoproglašenje">
      <xdr:nvPicPr>
        <xdr:cNvPr id="1" name="Picture 6" descr="grb HŠRS 3"/>
        <xdr:cNvPicPr preferRelativeResize="1">
          <a:picLocks noChangeAspect="1"/>
        </xdr:cNvPicPr>
      </xdr:nvPicPr>
      <xdr:blipFill>
        <a:blip r:embed="rId1"/>
        <a:stretch>
          <a:fillRect/>
        </a:stretch>
      </xdr:blipFill>
      <xdr:spPr>
        <a:xfrm>
          <a:off x="4410075" y="171450"/>
          <a:ext cx="8191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5.xml" /><Relationship Id="rId4" Type="http://schemas.openxmlformats.org/officeDocument/2006/relationships/vmlDrawing" Target="../drawings/vmlDrawing16.vml" /><Relationship Id="rId5"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8.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9.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2.vml" /><Relationship Id="rId3" Type="http://schemas.openxmlformats.org/officeDocument/2006/relationships/drawing" Target="../drawings/drawing6.xml" /><Relationship Id="rId4"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3.vml" /><Relationship Id="rId3" Type="http://schemas.openxmlformats.org/officeDocument/2006/relationships/drawing" Target="../drawings/drawing7.xml" /><Relationship Id="rId4"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4.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5.vml" /><Relationship Id="rId3" Type="http://schemas.openxmlformats.org/officeDocument/2006/relationships/drawing" Target="../drawings/drawing8.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6.vml" /><Relationship Id="rId3" Type="http://schemas.openxmlformats.org/officeDocument/2006/relationships/drawing" Target="../drawings/drawing9.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7.vml" /><Relationship Id="rId3" Type="http://schemas.openxmlformats.org/officeDocument/2006/relationships/drawing" Target="../drawings/drawing10.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8.vml" /><Relationship Id="rId3" Type="http://schemas.openxmlformats.org/officeDocument/2006/relationships/drawing" Target="../drawings/drawing12.xml" /><Relationship Id="rId4"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10"/>
  </sheetPr>
  <dimension ref="E2:U40"/>
  <sheetViews>
    <sheetView showGridLines="0" showRowColHeaders="0" tabSelected="1" zoomScale="88" zoomScaleNormal="88" zoomScalePageLayoutView="0" workbookViewId="0" topLeftCell="A1">
      <selection activeCell="O18" sqref="O18"/>
    </sheetView>
  </sheetViews>
  <sheetFormatPr defaultColWidth="9.140625" defaultRowHeight="12.75"/>
  <cols>
    <col min="1" max="1" width="9.140625" style="1" customWidth="1"/>
    <col min="2" max="2" width="7.8515625" style="1" customWidth="1"/>
    <col min="3" max="3" width="7.140625" style="1" customWidth="1"/>
    <col min="4" max="4" width="8.421875" style="1" customWidth="1"/>
    <col min="5" max="5" width="14.00390625" style="1" customWidth="1"/>
    <col min="6" max="6" width="8.00390625" style="1" customWidth="1"/>
    <col min="7" max="7" width="7.00390625" style="1" customWidth="1"/>
    <col min="8" max="8" width="34.57421875" style="2" customWidth="1"/>
    <col min="9" max="9" width="7.7109375" style="1" customWidth="1"/>
    <col min="10" max="10" width="6.7109375" style="1" customWidth="1"/>
    <col min="11" max="11" width="8.140625" style="1" customWidth="1"/>
    <col min="12" max="15" width="9.140625" style="1" customWidth="1"/>
    <col min="16" max="21" width="9.140625" style="1" hidden="1" customWidth="1"/>
    <col min="22" max="16384" width="9.140625" style="1" customWidth="1"/>
  </cols>
  <sheetData>
    <row r="1" ht="4.5" customHeight="1" thickBot="1"/>
    <row r="2" spans="5:8" s="3" customFormat="1" ht="30" customHeight="1" thickBot="1" thickTop="1">
      <c r="E2" s="3" t="s">
        <v>0</v>
      </c>
      <c r="H2" s="172" t="s">
        <v>282</v>
      </c>
    </row>
    <row r="3" spans="8:10" ht="12.75" customHeight="1" thickBot="1" thickTop="1">
      <c r="H3" s="4"/>
      <c r="J3" s="3"/>
    </row>
    <row r="4" spans="5:8" ht="22.5" customHeight="1" thickBot="1" thickTop="1">
      <c r="E4" s="1" t="s">
        <v>1</v>
      </c>
      <c r="H4" s="173" t="s">
        <v>283</v>
      </c>
    </row>
    <row r="5" spans="5:8" s="3" customFormat="1" ht="30" customHeight="1" thickBot="1" thickTop="1">
      <c r="E5" s="1" t="s">
        <v>2</v>
      </c>
      <c r="H5" s="174" t="s">
        <v>284</v>
      </c>
    </row>
    <row r="6" spans="5:8" s="3" customFormat="1" ht="7.5" customHeight="1" thickBot="1" thickTop="1">
      <c r="E6" s="1"/>
      <c r="H6" s="5"/>
    </row>
    <row r="7" spans="5:8" s="3" customFormat="1" ht="22.5" customHeight="1" thickBot="1" thickTop="1">
      <c r="E7" s="1" t="s">
        <v>3</v>
      </c>
      <c r="H7" s="173" t="s">
        <v>281</v>
      </c>
    </row>
    <row r="8" ht="7.5" customHeight="1" thickBot="1" thickTop="1">
      <c r="H8" s="4"/>
    </row>
    <row r="9" spans="5:21" s="3" customFormat="1" ht="22.5" customHeight="1" thickBot="1" thickTop="1">
      <c r="E9" s="1" t="s">
        <v>4</v>
      </c>
      <c r="H9" s="173" t="s">
        <v>5</v>
      </c>
      <c r="P9" s="3" t="s">
        <v>231</v>
      </c>
      <c r="Q9" s="3" t="s">
        <v>232</v>
      </c>
      <c r="R9" s="3" t="s">
        <v>233</v>
      </c>
      <c r="S9" s="3" t="s">
        <v>234</v>
      </c>
      <c r="T9" s="3" t="s">
        <v>5</v>
      </c>
      <c r="U9" s="3" t="s">
        <v>235</v>
      </c>
    </row>
    <row r="10" spans="5:8" s="3" customFormat="1" ht="7.5" customHeight="1" thickBot="1" thickTop="1">
      <c r="E10" s="1"/>
      <c r="H10" s="5"/>
    </row>
    <row r="11" spans="5:18" s="3" customFormat="1" ht="22.5" customHeight="1" thickBot="1" thickTop="1">
      <c r="E11" s="1" t="s">
        <v>6</v>
      </c>
      <c r="H11" s="173" t="s">
        <v>7</v>
      </c>
      <c r="P11" s="3" t="s">
        <v>7</v>
      </c>
      <c r="Q11" s="3" t="s">
        <v>236</v>
      </c>
      <c r="R11" s="3" t="s">
        <v>237</v>
      </c>
    </row>
    <row r="12" ht="6" customHeight="1" thickBot="1" thickTop="1">
      <c r="H12" s="4"/>
    </row>
    <row r="13" spans="5:8" s="3" customFormat="1" ht="22.5" customHeight="1" thickBot="1" thickTop="1">
      <c r="E13" s="1" t="s">
        <v>8</v>
      </c>
      <c r="H13" s="173" t="s">
        <v>286</v>
      </c>
    </row>
    <row r="14" spans="5:13" ht="30" customHeight="1" thickBot="1" thickTop="1">
      <c r="E14" s="1" t="s">
        <v>9</v>
      </c>
      <c r="H14" s="173" t="s">
        <v>285</v>
      </c>
      <c r="M14" s="468" t="s">
        <v>287</v>
      </c>
    </row>
    <row r="15" spans="5:10" ht="30" customHeight="1" thickBot="1" thickTop="1">
      <c r="E15" s="1" t="s">
        <v>10</v>
      </c>
      <c r="H15" s="4"/>
      <c r="J15" s="3"/>
    </row>
    <row r="16" spans="5:10" s="3" customFormat="1" ht="30" customHeight="1" thickBot="1" thickTop="1">
      <c r="E16" s="1" t="s">
        <v>11</v>
      </c>
      <c r="H16" s="173" t="s">
        <v>272</v>
      </c>
      <c r="J16" s="1"/>
    </row>
    <row r="17" spans="8:10" ht="7.5" customHeight="1" thickBot="1" thickTop="1">
      <c r="H17" s="4"/>
      <c r="J17" s="3"/>
    </row>
    <row r="18" spans="5:10" s="3" customFormat="1" ht="22.5" customHeight="1" thickBot="1" thickTop="1">
      <c r="E18" s="1" t="s">
        <v>12</v>
      </c>
      <c r="H18" s="173" t="s">
        <v>273</v>
      </c>
      <c r="J18" s="1"/>
    </row>
    <row r="19" spans="8:10" ht="7.5" customHeight="1" thickBot="1" thickTop="1">
      <c r="H19" s="4"/>
      <c r="J19" s="3"/>
    </row>
    <row r="20" spans="5:10" s="3" customFormat="1" ht="22.5" customHeight="1" thickBot="1" thickTop="1">
      <c r="E20" s="1" t="s">
        <v>218</v>
      </c>
      <c r="H20" s="173" t="s">
        <v>13</v>
      </c>
      <c r="J20" s="1"/>
    </row>
    <row r="21" spans="8:10" ht="7.5" customHeight="1" thickBot="1" thickTop="1">
      <c r="H21" s="4"/>
      <c r="J21" s="3"/>
    </row>
    <row r="22" spans="5:10" s="3" customFormat="1" ht="22.5" customHeight="1" thickBot="1" thickTop="1">
      <c r="E22" s="1" t="s">
        <v>14</v>
      </c>
      <c r="H22" s="173" t="s">
        <v>154</v>
      </c>
      <c r="J22" s="1"/>
    </row>
    <row r="23" spans="8:10" ht="7.5" customHeight="1" thickBot="1" thickTop="1">
      <c r="H23" s="4"/>
      <c r="J23" s="3"/>
    </row>
    <row r="24" spans="5:10" s="3" customFormat="1" ht="22.5" customHeight="1" thickBot="1" thickTop="1">
      <c r="E24" s="1" t="s">
        <v>15</v>
      </c>
      <c r="H24" s="173" t="s">
        <v>155</v>
      </c>
      <c r="J24" s="1"/>
    </row>
    <row r="25" spans="8:10" ht="7.5" customHeight="1" thickBot="1" thickTop="1">
      <c r="H25" s="4"/>
      <c r="J25" s="3"/>
    </row>
    <row r="26" spans="5:10" s="3" customFormat="1" ht="22.5" customHeight="1" thickBot="1" thickTop="1">
      <c r="E26" s="1" t="s">
        <v>16</v>
      </c>
      <c r="H26" s="173" t="s">
        <v>156</v>
      </c>
      <c r="J26" s="1"/>
    </row>
    <row r="27" ht="7.5" customHeight="1" thickBot="1" thickTop="1">
      <c r="H27" s="4"/>
    </row>
    <row r="28" spans="5:8" ht="22.5" customHeight="1" thickBot="1" thickTop="1">
      <c r="E28" s="1" t="s">
        <v>17</v>
      </c>
      <c r="H28" s="173" t="s">
        <v>157</v>
      </c>
    </row>
    <row r="29" ht="7.5" customHeight="1" thickBot="1" thickTop="1"/>
    <row r="30" spans="5:8" ht="22.5" customHeight="1" thickBot="1" thickTop="1">
      <c r="E30" s="1" t="s">
        <v>18</v>
      </c>
      <c r="H30" s="173" t="s">
        <v>158</v>
      </c>
    </row>
    <row r="31" ht="7.5" customHeight="1" thickTop="1"/>
    <row r="32" ht="12.75" hidden="1">
      <c r="H32" s="142" t="str">
        <f>IF(OR(EXACT($H$16,$H$18),EXACT($H$16,$H$20),EXACT($H$16,$H$22),EXACT($H$16,$H$24),EXACT($H$16,$H$26),EXACT($H$16,H$28),EXACT($H$16,$H$30))=TRUE,"",$H$16)</f>
        <v>Antun Kedmenec</v>
      </c>
    </row>
    <row r="33" ht="12.75" hidden="1">
      <c r="H33" s="142" t="str">
        <f>IF(OR(EXACT($H$18,$H$20),EXACT($H$18,$H$22),EXACT($H$18,$H$24),EXACT($H$18,$H$26),EXACT($H$18,H$28),EXACT($H$18,$H$30))=TRUE,"",$H$18)</f>
        <v>Pavao Umnik</v>
      </c>
    </row>
    <row r="34" ht="12.75" hidden="1">
      <c r="H34" s="142" t="str">
        <f>IF(OR(EXACT($H$20,$H$22),EXACT($H$20,$H$24),EXACT($H$20,$H$26),EXACT($H$20,H$28),EXACT($H$20,$H$30))=TRUE,"",$H$20)</f>
        <v>Mladen Čačić</v>
      </c>
    </row>
    <row r="35" ht="12.75" hidden="1">
      <c r="H35" s="142" t="str">
        <f>IF(OR(EXACT($H$22,$H$24),EXACT($H$22,$H$26),EXACT($H$22,H$28),EXACT($H$22,$H$30))=TRUE,"",$H$22)</f>
        <v>Milenko Popović</v>
      </c>
    </row>
    <row r="36" ht="12.75" hidden="1">
      <c r="H36" s="142" t="str">
        <f>IF(OR(EXACT($H$24,$H$26),EXACT($H$24,H$28),EXACT($H$24,$H$30))=TRUE,"",$H$24)</f>
        <v>Ivica Medner</v>
      </c>
    </row>
    <row r="37" ht="12.75" hidden="1">
      <c r="H37" s="142" t="str">
        <f>IF(OR(EXACT($H$26,H$28),EXACT($H$26,$H$30))=TRUE,"",$H$26)</f>
        <v>Leonardo Holubek</v>
      </c>
    </row>
    <row r="38" ht="12.75" hidden="1">
      <c r="H38" s="142" t="str">
        <f>IF(EXACT($H$28,$H$30)=TRUE,"",$H$28)</f>
        <v>Dražen Sertić</v>
      </c>
    </row>
    <row r="39" ht="12.75" hidden="1">
      <c r="H39" s="142" t="str">
        <f>IF(ISBLANK($H$30)=TRUE,"",$H$30)</f>
        <v>Karlo Međurečan</v>
      </c>
    </row>
    <row r="40" ht="12.75" hidden="1">
      <c r="H40" s="142">
        <f>COUNTA($H$32:$H$39)-COUNTIF($H$32:$H$39,"")</f>
        <v>8</v>
      </c>
    </row>
  </sheetData>
  <sheetProtection password="C7E2" sheet="1" objects="1" scenarios="1"/>
  <dataValidations count="2">
    <dataValidation errorStyle="warning" type="list" allowBlank="1" showInputMessage="1" showErrorMessage="1" errorTitle="SAVJET !" error="Odabir kategorije izvršite iz padajućeg popisa !" sqref="H9">
      <formula1>$P$9:$U$9</formula1>
    </dataValidation>
    <dataValidation errorStyle="warning" type="list" allowBlank="1" showInputMessage="1" showErrorMessage="1" errorTitle="SAVJET !" error="Disciplinu odaberi iz padajućeg popisa !" sqref="H11">
      <formula1>$P$11:$R$11</formula1>
    </dataValidation>
  </dataValidations>
  <printOptions horizontalCentered="1" verticalCentered="1"/>
  <pageMargins left="0.34" right="0.5" top="0.5118110236220472" bottom="0.6692913385826772" header="0.5118110236220472" footer="0.4330708661417323"/>
  <pageSetup blackAndWhite="1" horizontalDpi="300" verticalDpi="300" orientation="landscape" paperSize="9" r:id="rId4"/>
  <headerFooter alignWithMargins="0">
    <oddFooter>&amp;C&amp;"Arial,Kurziv"&amp;12&amp;YProgram za izračun rezultata i provođenje natjecanja</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8">
    <tabColor indexed="10"/>
  </sheetPr>
  <dimension ref="A1:X14"/>
  <sheetViews>
    <sheetView showRowColHeaders="0" zoomScalePageLayoutView="0" workbookViewId="0" topLeftCell="A1">
      <selection activeCell="N18" sqref="N18"/>
    </sheetView>
  </sheetViews>
  <sheetFormatPr defaultColWidth="9.140625" defaultRowHeight="12.75"/>
  <cols>
    <col min="1" max="2" width="9.140625" style="452" customWidth="1"/>
    <col min="3" max="3" width="9.140625" style="453" customWidth="1"/>
    <col min="4" max="4" width="20.140625" style="455" customWidth="1"/>
    <col min="5" max="5" width="18.57421875" style="452" customWidth="1"/>
    <col min="6" max="6" width="9.140625" style="452" customWidth="1"/>
    <col min="7" max="8" width="0" style="452" hidden="1" customWidth="1"/>
    <col min="9" max="13" width="0" style="453" hidden="1" customWidth="1"/>
    <col min="14" max="16384" width="9.140625" style="452" customWidth="1"/>
  </cols>
  <sheetData>
    <row r="1" spans="1:24" ht="255">
      <c r="A1" s="196"/>
      <c r="B1" s="146" t="s">
        <v>82</v>
      </c>
      <c r="C1" s="146" t="s">
        <v>23</v>
      </c>
      <c r="D1" s="140" t="s">
        <v>21</v>
      </c>
      <c r="E1" s="140" t="s">
        <v>83</v>
      </c>
      <c r="F1" s="195" t="s">
        <v>84</v>
      </c>
      <c r="G1" s="419" t="s">
        <v>23</v>
      </c>
      <c r="H1" s="419" t="str">
        <f>B1</f>
        <v>Sektorski plasman</v>
      </c>
      <c r="I1" s="419" t="s">
        <v>210</v>
      </c>
      <c r="J1" s="419" t="s">
        <v>211</v>
      </c>
      <c r="K1" s="419" t="s">
        <v>212</v>
      </c>
      <c r="L1" s="419" t="s">
        <v>213</v>
      </c>
      <c r="M1" s="419" t="s">
        <v>214</v>
      </c>
      <c r="N1" s="145" t="s">
        <v>220</v>
      </c>
      <c r="O1" s="450"/>
      <c r="P1" s="451"/>
      <c r="Q1" s="451"/>
      <c r="R1" s="451"/>
      <c r="S1" s="451"/>
      <c r="T1" s="451"/>
      <c r="U1" s="451"/>
      <c r="V1" s="451"/>
      <c r="W1" s="451"/>
      <c r="X1" s="451"/>
    </row>
    <row r="2" spans="1:24" ht="12.75">
      <c r="A2" s="420"/>
      <c r="B2" s="54">
        <f>IF(AND(ISTEXT('Prijava ekipa i izvlačenje br.'!C2)=TRUE,ISNUMBER(F2)=FALSE,COUNTIF('Prijava ekipa i izvlačenje br.'!E2:'Prijava ekipa i izvlačenje br.'!Q2,"A")=0),COUNTA(D$2:D$13)-COUNTIF(D$2:D$13,"")+1,IF(AND(ISNUMBER(F2)=TRUE,ISNUMBER(N2)=TRUE),((COUNT(F$2:F$13)+1-RANK(F2,$F$2:$F$13,0)-RANK(F2,$F$2:$F$13,1))/2)+RANK(F2,$F$2:$F$13,0)+1,IF(ISNUMBER(F2)=TRUE,((COUNT(F$2:F$13)+1-RANK(F2,$F$2:$F$13,0)-RANK(F2,$F$2:$F$13,1))/2)+RANK(F2,$F$2:$F$13,0),"")))</f>
        <v>1</v>
      </c>
      <c r="C2" s="55">
        <f>IF(AND(ISNUMBER('Prijava ekipa i izvlačenje br.'!A2)=TRUE,COUNTIF(E2,"")=0),'Prijava ekipa i izvlačenje br.'!A2,IF(AND(ISNUMBER('Prijava ekipa i izvlačenje br.'!F2)=TRUE,COUNTIF('Prijava ekipa i izvlačenje br.'!$E2,"A")=1),'Prijava ekipa i izvlačenje br.'!F2,IF(AND(ISNUMBER('Prijava ekipa i izvlačenje br.'!I2)=TRUE,COUNTIF('Prijava ekipa i izvlačenje br.'!$H2,"A")=1),'Prijava ekipa i izvlačenje br.'!I2,IF(AND(ISNUMBER('Prijava ekipa i izvlačenje br.'!L2)=TRUE,COUNTIF('Prijava ekipa i izvlačenje br.'!$K2,"A")=1),'Prijava ekipa i izvlačenje br.'!L2,IF(AND(ISNUMBER('Prijava ekipa i izvlačenje br.'!O2)=TRUE,COUNTIF('Prijava ekipa i izvlačenje br.'!$N2,"A")=1),'Prijava ekipa i izvlačenje br.'!O2,IF(AND(ISNUMBER('Prijava ekipa i izvlačenje br.'!R2)=TRUE,COUNTIF('Prijava ekipa i izvlačenje br.'!$Q2,"A")=1),'Prijava ekipa i izvlačenje br.'!R2,""))))))</f>
        <v>1</v>
      </c>
      <c r="D2" s="421" t="str">
        <f>IF(ISBLANK('Prijava ekipa i izvlačenje br.'!C2)=TRUE,"",'Prijava ekipa i izvlačenje br.'!C2)</f>
        <v>Korana Karlovac</v>
      </c>
      <c r="E2" s="421" t="str">
        <f>IF(COUNTIF('Prijava ekipa i izvlačenje br.'!$E2,"A")=1,'Prijava ekipa i izvlačenje br.'!$D2,IF(COUNTIF('Prijava ekipa i izvlačenje br.'!$H2,"A")=1,'Prijava ekipa i izvlačenje br.'!$G2,IF(COUNTIF('Prijava ekipa i izvlačenje br.'!$K2,"A")=1,'Prijava ekipa i izvlačenje br.'!$J2,IF(COUNTIF('Prijava ekipa i izvlačenje br.'!$N2,"A")=1,'Prijava ekipa i izvlačenje br.'!$M2,IF(COUNTIF('Prijava ekipa i izvlačenje br.'!$Q2,"A")=1,'Prijava ekipa i izvlačenje br.'!$P2,"")))))</f>
        <v>Elvis Šinko</v>
      </c>
      <c r="F2" s="422">
        <v>5000</v>
      </c>
      <c r="G2" s="423">
        <f>C2</f>
        <v>1</v>
      </c>
      <c r="H2" s="423">
        <f>B2</f>
        <v>1</v>
      </c>
      <c r="I2" s="423">
        <v>1</v>
      </c>
      <c r="J2" s="423">
        <v>2</v>
      </c>
      <c r="K2" s="423">
        <v>3</v>
      </c>
      <c r="L2" s="423">
        <v>4</v>
      </c>
      <c r="M2" s="423">
        <v>5</v>
      </c>
      <c r="N2" s="422"/>
      <c r="O2" s="450"/>
      <c r="P2" s="451"/>
      <c r="Q2" s="451"/>
      <c r="R2" s="451"/>
      <c r="S2" s="451"/>
      <c r="T2" s="451"/>
      <c r="U2" s="451"/>
      <c r="V2" s="451"/>
      <c r="W2" s="451"/>
      <c r="X2" s="451"/>
    </row>
    <row r="3" spans="1:24" ht="12.75">
      <c r="A3" s="420"/>
      <c r="B3" s="54">
        <f>IF(AND(ISTEXT('Prijava ekipa i izvlačenje br.'!C3)=TRUE,ISNUMBER(F3)=FALSE,COUNTIF('Prijava ekipa i izvlačenje br.'!E3:'Prijava ekipa i izvlačenje br.'!Q3,"A")=0),COUNTA(D$2:D$13)-COUNTIF(D$2:D$13,"")+1,IF(AND(ISNUMBER(F3)=TRUE,ISNUMBER(N3)=TRUE),((COUNT(F$2:F$13)+1-RANK(F3,$F$2:$F$13,0)-RANK(F3,$F$2:$F$13,1))/2)+RANK(F3,$F$2:$F$13,0)+1,IF(ISNUMBER(F3)=TRUE,((COUNT(F$2:F$13)+1-RANK(F3,$F$2:$F$13,0)-RANK(F3,$F$2:$F$13,1))/2)+RANK(F3,$F$2:$F$13,0),"")))</f>
        <v>2</v>
      </c>
      <c r="C3" s="55">
        <f>IF(AND(ISNUMBER('Prijava ekipa i izvlačenje br.'!A3)=TRUE,COUNTIF(E3,"")=0),'Prijava ekipa i izvlačenje br.'!A3,IF(AND(ISNUMBER('Prijava ekipa i izvlačenje br.'!F3)=TRUE,COUNTIF('Prijava ekipa i izvlačenje br.'!$E3,"A")=1),'Prijava ekipa i izvlačenje br.'!F3,IF(AND(ISNUMBER('Prijava ekipa i izvlačenje br.'!I3)=TRUE,COUNTIF('Prijava ekipa i izvlačenje br.'!$H3,"A")=1),'Prijava ekipa i izvlačenje br.'!I3,IF(AND(ISNUMBER('Prijava ekipa i izvlačenje br.'!L3)=TRUE,COUNTIF('Prijava ekipa i izvlačenje br.'!$K3,"A")=1),'Prijava ekipa i izvlačenje br.'!L3,IF(AND(ISNUMBER('Prijava ekipa i izvlačenje br.'!O3)=TRUE,COUNTIF('Prijava ekipa i izvlačenje br.'!$N3,"A")=1),'Prijava ekipa i izvlačenje br.'!O3,IF(AND(ISNUMBER('Prijava ekipa i izvlačenje br.'!R3)=TRUE,COUNTIF('Prijava ekipa i izvlačenje br.'!$Q3,"A")=1),'Prijava ekipa i izvlačenje br.'!R3,""))))))</f>
        <v>2</v>
      </c>
      <c r="D3" s="421" t="str">
        <f>IF(ISBLANK('Prijava ekipa i izvlačenje br.'!C3)=TRUE,"",'Prijava ekipa i izvlačenje br.'!C3)</f>
        <v>Štuka Torčec</v>
      </c>
      <c r="E3" s="421" t="str">
        <f>IF(COUNTIF('Prijava ekipa i izvlačenje br.'!$E3,"A")=1,'Prijava ekipa i izvlačenje br.'!$D3,IF(COUNTIF('Prijava ekipa i izvlačenje br.'!$H3,"A")=1,'Prijava ekipa i izvlačenje br.'!$G3,IF(COUNTIF('Prijava ekipa i izvlačenje br.'!$K3,"A")=1,'Prijava ekipa i izvlačenje br.'!$J3,IF(COUNTIF('Prijava ekipa i izvlačenje br.'!$N3,"A")=1,'Prijava ekipa i izvlačenje br.'!$M3,IF(COUNTIF('Prijava ekipa i izvlačenje br.'!$Q3,"A")=1,'Prijava ekipa i izvlačenje br.'!$P3,"")))))</f>
        <v>Goran Štargl</v>
      </c>
      <c r="F3" s="422">
        <v>4235</v>
      </c>
      <c r="G3" s="423">
        <f aca="true" t="shared" si="0" ref="G3:G13">C3</f>
        <v>2</v>
      </c>
      <c r="H3" s="423">
        <f aca="true" t="shared" si="1" ref="H3:H13">B3</f>
        <v>2</v>
      </c>
      <c r="I3" s="423">
        <v>6</v>
      </c>
      <c r="J3" s="423">
        <v>7</v>
      </c>
      <c r="K3" s="423">
        <v>8</v>
      </c>
      <c r="L3" s="423">
        <v>9</v>
      </c>
      <c r="M3" s="423">
        <v>10</v>
      </c>
      <c r="N3" s="422"/>
      <c r="O3" s="450"/>
      <c r="P3" s="451"/>
      <c r="Q3" s="451"/>
      <c r="R3" s="451"/>
      <c r="S3" s="451"/>
      <c r="T3" s="451"/>
      <c r="U3" s="451"/>
      <c r="V3" s="451"/>
      <c r="W3" s="451"/>
      <c r="X3" s="451"/>
    </row>
    <row r="4" spans="1:24" ht="12.75">
      <c r="A4" s="420"/>
      <c r="B4" s="54">
        <f>IF(AND(ISTEXT('Prijava ekipa i izvlačenje br.'!C4)=TRUE,ISNUMBER(F4)=FALSE,COUNTIF('Prijava ekipa i izvlačenje br.'!E4:'Prijava ekipa i izvlačenje br.'!Q4,"A")=0),COUNTA(D$2:D$13)-COUNTIF(D$2:D$13,"")+1,IF(AND(ISNUMBER(F4)=TRUE,ISNUMBER(N4)=TRUE),((COUNT(F$2:F$13)+1-RANK(F4,$F$2:$F$13,0)-RANK(F4,$F$2:$F$13,1))/2)+RANK(F4,$F$2:$F$13,0)+1,IF(ISNUMBER(F4)=TRUE,((COUNT(F$2:F$13)+1-RANK(F4,$F$2:$F$13,0)-RANK(F4,$F$2:$F$13,1))/2)+RANK(F4,$F$2:$F$13,0),"")))</f>
        <v>3</v>
      </c>
      <c r="C4" s="55">
        <f>IF(AND(ISNUMBER('Prijava ekipa i izvlačenje br.'!A4)=TRUE,COUNTIF(E4,"")=0),'Prijava ekipa i izvlačenje br.'!A4,IF(AND(ISNUMBER('Prijava ekipa i izvlačenje br.'!F4)=TRUE,COUNTIF('Prijava ekipa i izvlačenje br.'!$E4,"A")=1),'Prijava ekipa i izvlačenje br.'!F4,IF(AND(ISNUMBER('Prijava ekipa i izvlačenje br.'!I4)=TRUE,COUNTIF('Prijava ekipa i izvlačenje br.'!$H4,"A")=1),'Prijava ekipa i izvlačenje br.'!I4,IF(AND(ISNUMBER('Prijava ekipa i izvlačenje br.'!L4)=TRUE,COUNTIF('Prijava ekipa i izvlačenje br.'!$K4,"A")=1),'Prijava ekipa i izvlačenje br.'!L4,IF(AND(ISNUMBER('Prijava ekipa i izvlačenje br.'!O4)=TRUE,COUNTIF('Prijava ekipa i izvlačenje br.'!$N4,"A")=1),'Prijava ekipa i izvlačenje br.'!O4,IF(AND(ISNUMBER('Prijava ekipa i izvlačenje br.'!R4)=TRUE,COUNTIF('Prijava ekipa i izvlačenje br.'!$Q4,"A")=1),'Prijava ekipa i izvlačenje br.'!R4,""))))))</f>
        <v>3</v>
      </c>
      <c r="D4" s="421" t="str">
        <f>IF(ISBLANK('Prijava ekipa i izvlačenje br.'!C4)=TRUE,"",'Prijava ekipa i izvlačenje br.'!C4)</f>
        <v>Rak Rakitje</v>
      </c>
      <c r="E4" s="421" t="str">
        <f>IF(COUNTIF('Prijava ekipa i izvlačenje br.'!$E4,"A")=1,'Prijava ekipa i izvlačenje br.'!$D4,IF(COUNTIF('Prijava ekipa i izvlačenje br.'!$H4,"A")=1,'Prijava ekipa i izvlačenje br.'!$G4,IF(COUNTIF('Prijava ekipa i izvlačenje br.'!$K4,"A")=1,'Prijava ekipa i izvlačenje br.'!$J4,IF(COUNTIF('Prijava ekipa i izvlačenje br.'!$N4,"A")=1,'Prijava ekipa i izvlačenje br.'!$M4,IF(COUNTIF('Prijava ekipa i izvlačenje br.'!$Q4,"A")=1,'Prijava ekipa i izvlačenje br.'!$P4,"")))))</f>
        <v>Mladen Kečkeš</v>
      </c>
      <c r="F4" s="422">
        <v>2978</v>
      </c>
      <c r="G4" s="423">
        <f t="shared" si="0"/>
        <v>3</v>
      </c>
      <c r="H4" s="423">
        <f t="shared" si="1"/>
        <v>3</v>
      </c>
      <c r="I4" s="423">
        <v>11</v>
      </c>
      <c r="J4" s="423">
        <v>12</v>
      </c>
      <c r="K4" s="423">
        <v>13</v>
      </c>
      <c r="L4" s="423">
        <v>14</v>
      </c>
      <c r="M4" s="423">
        <v>15</v>
      </c>
      <c r="N4" s="422"/>
      <c r="O4" s="450"/>
      <c r="P4" s="451"/>
      <c r="Q4" s="451"/>
      <c r="R4" s="451"/>
      <c r="S4" s="451"/>
      <c r="T4" s="451"/>
      <c r="U4" s="451"/>
      <c r="V4" s="451"/>
      <c r="W4" s="451"/>
      <c r="X4" s="451"/>
    </row>
    <row r="5" spans="1:24" ht="12.75">
      <c r="A5" s="420"/>
      <c r="B5" s="54">
        <f>IF(AND(ISTEXT('Prijava ekipa i izvlačenje br.'!C5)=TRUE,ISNUMBER(F5)=FALSE,COUNTIF('Prijava ekipa i izvlačenje br.'!E5:'Prijava ekipa i izvlačenje br.'!Q5,"A")=0),COUNTA(D$2:D$13)-COUNTIF(D$2:D$13,"")+1,IF(AND(ISNUMBER(F5)=TRUE,ISNUMBER(N5)=TRUE),((COUNT(F$2:F$13)+1-RANK(F5,$F$2:$F$13,0)-RANK(F5,$F$2:$F$13,1))/2)+RANK(F5,$F$2:$F$13,0)+1,IF(ISNUMBER(F5)=TRUE,((COUNT(F$2:F$13)+1-RANK(F5,$F$2:$F$13,0)-RANK(F5,$F$2:$F$13,1))/2)+RANK(F5,$F$2:$F$13,0),"")))</f>
        <v>10.5</v>
      </c>
      <c r="C5" s="55">
        <f>IF(AND(ISNUMBER('Prijava ekipa i izvlačenje br.'!A5)=TRUE,COUNTIF(E5,"")=0),'Prijava ekipa i izvlačenje br.'!A5,IF(AND(ISNUMBER('Prijava ekipa i izvlačenje br.'!F5)=TRUE,COUNTIF('Prijava ekipa i izvlačenje br.'!$E5,"A")=1),'Prijava ekipa i izvlačenje br.'!F5,IF(AND(ISNUMBER('Prijava ekipa i izvlačenje br.'!I5)=TRUE,COUNTIF('Prijava ekipa i izvlačenje br.'!$H5,"A")=1),'Prijava ekipa i izvlačenje br.'!I5,IF(AND(ISNUMBER('Prijava ekipa i izvlačenje br.'!L5)=TRUE,COUNTIF('Prijava ekipa i izvlačenje br.'!$K5,"A")=1),'Prijava ekipa i izvlačenje br.'!L5,IF(AND(ISNUMBER('Prijava ekipa i izvlačenje br.'!O5)=TRUE,COUNTIF('Prijava ekipa i izvlačenje br.'!$N5,"A")=1),'Prijava ekipa i izvlačenje br.'!O5,IF(AND(ISNUMBER('Prijava ekipa i izvlačenje br.'!R5)=TRUE,COUNTIF('Prijava ekipa i izvlačenje br.'!$Q5,"A")=1),'Prijava ekipa i izvlačenje br.'!R5,""))))))</f>
        <v>4</v>
      </c>
      <c r="D5" s="421" t="str">
        <f>IF(ISBLANK('Prijava ekipa i izvlačenje br.'!C5)=TRUE,"",'Prijava ekipa i izvlačenje br.'!C5)</f>
        <v>Bjelovar Bjelovar</v>
      </c>
      <c r="E5" s="421" t="str">
        <f>IF(COUNTIF('Prijava ekipa i izvlačenje br.'!$E5,"A")=1,'Prijava ekipa i izvlačenje br.'!$D5,IF(COUNTIF('Prijava ekipa i izvlačenje br.'!$H5,"A")=1,'Prijava ekipa i izvlačenje br.'!$G5,IF(COUNTIF('Prijava ekipa i izvlačenje br.'!$K5,"A")=1,'Prijava ekipa i izvlačenje br.'!$J5,IF(COUNTIF('Prijava ekipa i izvlačenje br.'!$N5,"A")=1,'Prijava ekipa i izvlačenje br.'!$M5,IF(COUNTIF('Prijava ekipa i izvlačenje br.'!$Q5,"A")=1,'Prijava ekipa i izvlačenje br.'!$P5,"")))))</f>
        <v>Emil Lukman</v>
      </c>
      <c r="F5" s="422">
        <v>905</v>
      </c>
      <c r="G5" s="423">
        <f t="shared" si="0"/>
        <v>4</v>
      </c>
      <c r="H5" s="423">
        <f t="shared" si="1"/>
        <v>10.5</v>
      </c>
      <c r="I5" s="423">
        <v>16</v>
      </c>
      <c r="J5" s="423">
        <v>17</v>
      </c>
      <c r="K5" s="423">
        <v>18</v>
      </c>
      <c r="L5" s="423">
        <v>19</v>
      </c>
      <c r="M5" s="423">
        <v>20</v>
      </c>
      <c r="N5" s="422"/>
      <c r="O5" s="450"/>
      <c r="P5" s="451"/>
      <c r="Q5" s="451"/>
      <c r="R5" s="451"/>
      <c r="S5" s="451"/>
      <c r="T5" s="451"/>
      <c r="U5" s="451"/>
      <c r="V5" s="451"/>
      <c r="W5" s="451"/>
      <c r="X5" s="451"/>
    </row>
    <row r="6" spans="1:24" ht="12.75">
      <c r="A6" s="420"/>
      <c r="B6" s="54">
        <f>IF(AND(ISTEXT('Prijava ekipa i izvlačenje br.'!C6)=TRUE,ISNUMBER(F6)=FALSE,COUNTIF('Prijava ekipa i izvlačenje br.'!E6:'Prijava ekipa i izvlačenje br.'!Q6,"A")=0),COUNTA(D$2:D$13)-COUNTIF(D$2:D$13,"")+1,IF(AND(ISNUMBER(F6)=TRUE,ISNUMBER(N6)=TRUE),((COUNT(F$2:F$13)+1-RANK(F6,$F$2:$F$13,0)-RANK(F6,$F$2:$F$13,1))/2)+RANK(F6,$F$2:$F$13,0)+1,IF(ISNUMBER(F6)=TRUE,((COUNT(F$2:F$13)+1-RANK(F6,$F$2:$F$13,0)-RANK(F6,$F$2:$F$13,1))/2)+RANK(F6,$F$2:$F$13,0),"")))</f>
        <v>12</v>
      </c>
      <c r="C6" s="55">
        <f>IF(AND(ISNUMBER('Prijava ekipa i izvlačenje br.'!A6)=TRUE,COUNTIF(E6,"")=0),'Prijava ekipa i izvlačenje br.'!A6,IF(AND(ISNUMBER('Prijava ekipa i izvlačenje br.'!F6)=TRUE,COUNTIF('Prijava ekipa i izvlačenje br.'!$E6,"A")=1),'Prijava ekipa i izvlačenje br.'!F6,IF(AND(ISNUMBER('Prijava ekipa i izvlačenje br.'!I6)=TRUE,COUNTIF('Prijava ekipa i izvlačenje br.'!$H6,"A")=1),'Prijava ekipa i izvlačenje br.'!I6,IF(AND(ISNUMBER('Prijava ekipa i izvlačenje br.'!L6)=TRUE,COUNTIF('Prijava ekipa i izvlačenje br.'!$K6,"A")=1),'Prijava ekipa i izvlačenje br.'!L6,IF(AND(ISNUMBER('Prijava ekipa i izvlačenje br.'!O6)=TRUE,COUNTIF('Prijava ekipa i izvlačenje br.'!$N6,"A")=1),'Prijava ekipa i izvlačenje br.'!O6,IF(AND(ISNUMBER('Prijava ekipa i izvlačenje br.'!R6)=TRUE,COUNTIF('Prijava ekipa i izvlačenje br.'!$Q6,"A")=1),'Prijava ekipa i izvlačenje br.'!R6,""))))))</f>
        <v>5</v>
      </c>
      <c r="D6" s="421" t="str">
        <f>IF(ISBLANK('Prijava ekipa i izvlačenje br.'!C6)=TRUE,"",'Prijava ekipa i izvlačenje br.'!C6)</f>
        <v>Varaždin Varaždin</v>
      </c>
      <c r="E6" s="421" t="str">
        <f>IF(COUNTIF('Prijava ekipa i izvlačenje br.'!$E6,"A")=1,'Prijava ekipa i izvlačenje br.'!$D6,IF(COUNTIF('Prijava ekipa i izvlačenje br.'!$H6,"A")=1,'Prijava ekipa i izvlačenje br.'!$G6,IF(COUNTIF('Prijava ekipa i izvlačenje br.'!$K6,"A")=1,'Prijava ekipa i izvlačenje br.'!$J6,IF(COUNTIF('Prijava ekipa i izvlačenje br.'!$N6,"A")=1,'Prijava ekipa i izvlačenje br.'!$M6,IF(COUNTIF('Prijava ekipa i izvlačenje br.'!$Q6,"A")=1,'Prijava ekipa i izvlačenje br.'!$P6,"")))))</f>
        <v>Ivica Bonino Hasan</v>
      </c>
      <c r="F6" s="422">
        <v>475</v>
      </c>
      <c r="G6" s="423">
        <f t="shared" si="0"/>
        <v>5</v>
      </c>
      <c r="H6" s="423">
        <f t="shared" si="1"/>
        <v>12</v>
      </c>
      <c r="I6" s="423">
        <v>21</v>
      </c>
      <c r="J6" s="423">
        <v>22</v>
      </c>
      <c r="K6" s="423">
        <v>23</v>
      </c>
      <c r="L6" s="423">
        <v>24</v>
      </c>
      <c r="M6" s="423">
        <v>25</v>
      </c>
      <c r="N6" s="422"/>
      <c r="O6" s="450"/>
      <c r="P6" s="451"/>
      <c r="Q6" s="451"/>
      <c r="R6" s="451"/>
      <c r="S6" s="451"/>
      <c r="T6" s="451"/>
      <c r="U6" s="451"/>
      <c r="V6" s="451"/>
      <c r="W6" s="451"/>
      <c r="X6" s="451"/>
    </row>
    <row r="7" spans="1:24" ht="12.75">
      <c r="A7" s="420"/>
      <c r="B7" s="54">
        <f>IF(AND(ISTEXT('Prijava ekipa i izvlačenje br.'!C7)=TRUE,ISNUMBER(F7)=FALSE,COUNTIF('Prijava ekipa i izvlačenje br.'!E7:'Prijava ekipa i izvlačenje br.'!Q7,"A")=0),COUNTA(D$2:D$13)-COUNTIF(D$2:D$13,"")+1,IF(AND(ISNUMBER(F7)=TRUE,ISNUMBER(N7)=TRUE),((COUNT(F$2:F$13)+1-RANK(F7,$F$2:$F$13,0)-RANK(F7,$F$2:$F$13,1))/2)+RANK(F7,$F$2:$F$13,0)+1,IF(ISNUMBER(F7)=TRUE,((COUNT(F$2:F$13)+1-RANK(F7,$F$2:$F$13,0)-RANK(F7,$F$2:$F$13,1))/2)+RANK(F7,$F$2:$F$13,0),"")))</f>
        <v>5</v>
      </c>
      <c r="C7" s="55">
        <f>IF(AND(ISNUMBER('Prijava ekipa i izvlačenje br.'!A7)=TRUE,COUNTIF(E7,"")=0),'Prijava ekipa i izvlačenje br.'!A7,IF(AND(ISNUMBER('Prijava ekipa i izvlačenje br.'!F7)=TRUE,COUNTIF('Prijava ekipa i izvlačenje br.'!$E7,"A")=1),'Prijava ekipa i izvlačenje br.'!F7,IF(AND(ISNUMBER('Prijava ekipa i izvlačenje br.'!I7)=TRUE,COUNTIF('Prijava ekipa i izvlačenje br.'!$H7,"A")=1),'Prijava ekipa i izvlačenje br.'!I7,IF(AND(ISNUMBER('Prijava ekipa i izvlačenje br.'!L7)=TRUE,COUNTIF('Prijava ekipa i izvlačenje br.'!$K7,"A")=1),'Prijava ekipa i izvlačenje br.'!L7,IF(AND(ISNUMBER('Prijava ekipa i izvlačenje br.'!O7)=TRUE,COUNTIF('Prijava ekipa i izvlačenje br.'!$N7,"A")=1),'Prijava ekipa i izvlačenje br.'!O7,IF(AND(ISNUMBER('Prijava ekipa i izvlačenje br.'!R7)=TRUE,COUNTIF('Prijava ekipa i izvlačenje br.'!$Q7,"A")=1),'Prijava ekipa i izvlačenje br.'!R7,""))))))</f>
        <v>6</v>
      </c>
      <c r="D7" s="421" t="str">
        <f>IF(ISBLANK('Prijava ekipa i izvlačenje br.'!C7)=TRUE,"",'Prijava ekipa i izvlačenje br.'!C7)</f>
        <v>Azzuro Varaždin</v>
      </c>
      <c r="E7" s="421" t="str">
        <f>IF(COUNTIF('Prijava ekipa i izvlačenje br.'!$E7,"A")=1,'Prijava ekipa i izvlačenje br.'!$D7,IF(COUNTIF('Prijava ekipa i izvlačenje br.'!$H7,"A")=1,'Prijava ekipa i izvlačenje br.'!$G7,IF(COUNTIF('Prijava ekipa i izvlačenje br.'!$K7,"A")=1,'Prijava ekipa i izvlačenje br.'!$J7,IF(COUNTIF('Prijava ekipa i izvlačenje br.'!$N7,"A")=1,'Prijava ekipa i izvlačenje br.'!$M7,IF(COUNTIF('Prijava ekipa i izvlačenje br.'!$Q7,"A")=1,'Prijava ekipa i izvlačenje br.'!$P7,"")))))</f>
        <v>Dražen Bajzek</v>
      </c>
      <c r="F7" s="422">
        <v>2105</v>
      </c>
      <c r="G7" s="423">
        <f t="shared" si="0"/>
        <v>6</v>
      </c>
      <c r="H7" s="423">
        <f t="shared" si="1"/>
        <v>5</v>
      </c>
      <c r="I7" s="423">
        <v>26</v>
      </c>
      <c r="J7" s="423">
        <v>27</v>
      </c>
      <c r="K7" s="423">
        <v>28</v>
      </c>
      <c r="L7" s="423">
        <v>29</v>
      </c>
      <c r="M7" s="423">
        <v>30</v>
      </c>
      <c r="N7" s="422"/>
      <c r="O7" s="450"/>
      <c r="P7" s="451"/>
      <c r="Q7" s="451"/>
      <c r="R7" s="451"/>
      <c r="S7" s="451"/>
      <c r="T7" s="451"/>
      <c r="U7" s="451"/>
      <c r="V7" s="451"/>
      <c r="W7" s="451"/>
      <c r="X7" s="451"/>
    </row>
    <row r="8" spans="1:24" ht="12.75">
      <c r="A8" s="420"/>
      <c r="B8" s="54">
        <f>IF(AND(ISTEXT('Prijava ekipa i izvlačenje br.'!C8)=TRUE,ISNUMBER(F8)=FALSE,COUNTIF('Prijava ekipa i izvlačenje br.'!E8:'Prijava ekipa i izvlačenje br.'!Q8,"A")=0),COUNTA(D$2:D$13)-COUNTIF(D$2:D$13,"")+1,IF(AND(ISNUMBER(F8)=TRUE,ISNUMBER(N8)=TRUE),((COUNT(F$2:F$13)+1-RANK(F8,$F$2:$F$13,0)-RANK(F8,$F$2:$F$13,1))/2)+RANK(F8,$F$2:$F$13,0)+1,IF(ISNUMBER(F8)=TRUE,((COUNT(F$2:F$13)+1-RANK(F8,$F$2:$F$13,0)-RANK(F8,$F$2:$F$13,1))/2)+RANK(F8,$F$2:$F$13,0),"")))</f>
        <v>10.5</v>
      </c>
      <c r="C8" s="55">
        <f>IF(AND(ISNUMBER('Prijava ekipa i izvlačenje br.'!A8)=TRUE,COUNTIF(E8,"")=0),'Prijava ekipa i izvlačenje br.'!A8,IF(AND(ISNUMBER('Prijava ekipa i izvlačenje br.'!F8)=TRUE,COUNTIF('Prijava ekipa i izvlačenje br.'!$E8,"A")=1),'Prijava ekipa i izvlačenje br.'!F8,IF(AND(ISNUMBER('Prijava ekipa i izvlačenje br.'!I8)=TRUE,COUNTIF('Prijava ekipa i izvlačenje br.'!$H8,"A")=1),'Prijava ekipa i izvlačenje br.'!I8,IF(AND(ISNUMBER('Prijava ekipa i izvlačenje br.'!L8)=TRUE,COUNTIF('Prijava ekipa i izvlačenje br.'!$K8,"A")=1),'Prijava ekipa i izvlačenje br.'!L8,IF(AND(ISNUMBER('Prijava ekipa i izvlačenje br.'!O8)=TRUE,COUNTIF('Prijava ekipa i izvlačenje br.'!$N8,"A")=1),'Prijava ekipa i izvlačenje br.'!O8,IF(AND(ISNUMBER('Prijava ekipa i izvlačenje br.'!R8)=TRUE,COUNTIF('Prijava ekipa i izvlačenje br.'!$Q8,"A")=1),'Prijava ekipa i izvlačenje br.'!R8,""))))))</f>
        <v>7</v>
      </c>
      <c r="D8" s="421" t="str">
        <f>IF(ISBLANK('Prijava ekipa i izvlačenje br.'!C8)=TRUE,"",'Prijava ekipa i izvlačenje br.'!C8)</f>
        <v>Trnje-ŠR Zagreb</v>
      </c>
      <c r="E8" s="421" t="str">
        <f>IF(COUNTIF('Prijava ekipa i izvlačenje br.'!$E8,"A")=1,'Prijava ekipa i izvlačenje br.'!$D8,IF(COUNTIF('Prijava ekipa i izvlačenje br.'!$H8,"A")=1,'Prijava ekipa i izvlačenje br.'!$G8,IF(COUNTIF('Prijava ekipa i izvlačenje br.'!$K8,"A")=1,'Prijava ekipa i izvlačenje br.'!$J8,IF(COUNTIF('Prijava ekipa i izvlačenje br.'!$N8,"A")=1,'Prijava ekipa i izvlačenje br.'!$M8,IF(COUNTIF('Prijava ekipa i izvlačenje br.'!$Q8,"A")=1,'Prijava ekipa i izvlačenje br.'!$P8,"")))))</f>
        <v>Zdravko Gotovac</v>
      </c>
      <c r="F8" s="422">
        <v>905</v>
      </c>
      <c r="G8" s="423">
        <f t="shared" si="0"/>
        <v>7</v>
      </c>
      <c r="H8" s="423">
        <f t="shared" si="1"/>
        <v>10.5</v>
      </c>
      <c r="I8" s="423">
        <v>31</v>
      </c>
      <c r="J8" s="423">
        <v>32</v>
      </c>
      <c r="K8" s="423">
        <v>33</v>
      </c>
      <c r="L8" s="423">
        <v>34</v>
      </c>
      <c r="M8" s="423">
        <v>35</v>
      </c>
      <c r="N8" s="422"/>
      <c r="O8" s="450"/>
      <c r="P8" s="451"/>
      <c r="Q8" s="451"/>
      <c r="R8" s="451"/>
      <c r="S8" s="451"/>
      <c r="T8" s="451"/>
      <c r="U8" s="451"/>
      <c r="V8" s="451"/>
      <c r="W8" s="451"/>
      <c r="X8" s="451"/>
    </row>
    <row r="9" spans="1:24" ht="12.75">
      <c r="A9" s="420"/>
      <c r="B9" s="54">
        <f>IF(AND(ISTEXT('Prijava ekipa i izvlačenje br.'!C9)=TRUE,ISNUMBER(F9)=FALSE,COUNTIF('Prijava ekipa i izvlačenje br.'!E9:'Prijava ekipa i izvlačenje br.'!Q9,"A")=0),COUNTA(D$2:D$13)-COUNTIF(D$2:D$13,"")+1,IF(AND(ISNUMBER(F9)=TRUE,ISNUMBER(N9)=TRUE),((COUNT(F$2:F$13)+1-RANK(F9,$F$2:$F$13,0)-RANK(F9,$F$2:$F$13,1))/2)+RANK(F9,$F$2:$F$13,0)+1,IF(ISNUMBER(F9)=TRUE,((COUNT(F$2:F$13)+1-RANK(F9,$F$2:$F$13,0)-RANK(F9,$F$2:$F$13,1))/2)+RANK(F9,$F$2:$F$13,0),"")))</f>
        <v>9</v>
      </c>
      <c r="C9" s="55">
        <f>IF(AND(ISNUMBER('Prijava ekipa i izvlačenje br.'!A9)=TRUE,COUNTIF(E9,"")=0),'Prijava ekipa i izvlačenje br.'!A9,IF(AND(ISNUMBER('Prijava ekipa i izvlačenje br.'!F9)=TRUE,COUNTIF('Prijava ekipa i izvlačenje br.'!$E9,"A")=1),'Prijava ekipa i izvlačenje br.'!F9,IF(AND(ISNUMBER('Prijava ekipa i izvlačenje br.'!I9)=TRUE,COUNTIF('Prijava ekipa i izvlačenje br.'!$H9,"A")=1),'Prijava ekipa i izvlačenje br.'!I9,IF(AND(ISNUMBER('Prijava ekipa i izvlačenje br.'!L9)=TRUE,COUNTIF('Prijava ekipa i izvlačenje br.'!$K9,"A")=1),'Prijava ekipa i izvlačenje br.'!L9,IF(AND(ISNUMBER('Prijava ekipa i izvlačenje br.'!O9)=TRUE,COUNTIF('Prijava ekipa i izvlačenje br.'!$N9,"A")=1),'Prijava ekipa i izvlačenje br.'!O9,IF(AND(ISNUMBER('Prijava ekipa i izvlačenje br.'!R9)=TRUE,COUNTIF('Prijava ekipa i izvlačenje br.'!$Q9,"A")=1),'Prijava ekipa i izvlačenje br.'!R9,""))))))</f>
        <v>8</v>
      </c>
      <c r="D9" s="421" t="str">
        <f>IF(ISBLANK('Prijava ekipa i izvlačenje br.'!C9)=TRUE,"",'Prijava ekipa i izvlačenje br.'!C9)</f>
        <v>Klen N.Gradiška</v>
      </c>
      <c r="E9" s="421" t="str">
        <f>IF(COUNTIF('Prijava ekipa i izvlačenje br.'!$E9,"A")=1,'Prijava ekipa i izvlačenje br.'!$D9,IF(COUNTIF('Prijava ekipa i izvlačenje br.'!$H9,"A")=1,'Prijava ekipa i izvlačenje br.'!$G9,IF(COUNTIF('Prijava ekipa i izvlačenje br.'!$K9,"A")=1,'Prijava ekipa i izvlačenje br.'!$J9,IF(COUNTIF('Prijava ekipa i izvlačenje br.'!$N9,"A")=1,'Prijava ekipa i izvlačenje br.'!$M9,IF(COUNTIF('Prijava ekipa i izvlačenje br.'!$Q9,"A")=1,'Prijava ekipa i izvlačenje br.'!$P9,"")))))</f>
        <v>Damir Dević</v>
      </c>
      <c r="F9" s="422">
        <v>1125</v>
      </c>
      <c r="G9" s="423">
        <f t="shared" si="0"/>
        <v>8</v>
      </c>
      <c r="H9" s="423">
        <f t="shared" si="1"/>
        <v>9</v>
      </c>
      <c r="I9" s="423">
        <v>36</v>
      </c>
      <c r="J9" s="423">
        <v>37</v>
      </c>
      <c r="K9" s="423">
        <v>38</v>
      </c>
      <c r="L9" s="423">
        <v>39</v>
      </c>
      <c r="M9" s="423">
        <v>40</v>
      </c>
      <c r="N9" s="422"/>
      <c r="O9" s="450"/>
      <c r="P9" s="451"/>
      <c r="Q9" s="451"/>
      <c r="R9" s="451"/>
      <c r="S9" s="451"/>
      <c r="T9" s="451"/>
      <c r="U9" s="451"/>
      <c r="V9" s="451"/>
      <c r="W9" s="451"/>
      <c r="X9" s="451"/>
    </row>
    <row r="10" spans="1:24" ht="12.75">
      <c r="A10" s="420"/>
      <c r="B10" s="54">
        <f>IF(AND(ISTEXT('Prijava ekipa i izvlačenje br.'!C10)=TRUE,ISNUMBER(F10)=FALSE,COUNTIF('Prijava ekipa i izvlačenje br.'!E10:'Prijava ekipa i izvlačenje br.'!Q10,"A")=0),COUNTA(D$2:D$13)-COUNTIF(D$2:D$13,"")+1,IF(AND(ISNUMBER(F10)=TRUE,ISNUMBER(N10)=TRUE),((COUNT(F$2:F$13)+1-RANK(F10,$F$2:$F$13,0)-RANK(F10,$F$2:$F$13,1))/2)+RANK(F10,$F$2:$F$13,0)+1,IF(ISNUMBER(F10)=TRUE,((COUNT(F$2:F$13)+1-RANK(F10,$F$2:$F$13,0)-RANK(F10,$F$2:$F$13,1))/2)+RANK(F10,$F$2:$F$13,0),"")))</f>
        <v>8</v>
      </c>
      <c r="C10" s="55">
        <f>IF(AND(ISNUMBER('Prijava ekipa i izvlačenje br.'!A10)=TRUE,COUNTIF(E10,"")=0),'Prijava ekipa i izvlačenje br.'!A10,IF(AND(ISNUMBER('Prijava ekipa i izvlačenje br.'!F10)=TRUE,COUNTIF('Prijava ekipa i izvlačenje br.'!$E10,"A")=1),'Prijava ekipa i izvlačenje br.'!F10,IF(AND(ISNUMBER('Prijava ekipa i izvlačenje br.'!I10)=TRUE,COUNTIF('Prijava ekipa i izvlačenje br.'!$H10,"A")=1),'Prijava ekipa i izvlačenje br.'!I10,IF(AND(ISNUMBER('Prijava ekipa i izvlačenje br.'!L10)=TRUE,COUNTIF('Prijava ekipa i izvlačenje br.'!$K10,"A")=1),'Prijava ekipa i izvlačenje br.'!L10,IF(AND(ISNUMBER('Prijava ekipa i izvlačenje br.'!O10)=TRUE,COUNTIF('Prijava ekipa i izvlačenje br.'!$N10,"A")=1),'Prijava ekipa i izvlačenje br.'!O10,IF(AND(ISNUMBER('Prijava ekipa i izvlačenje br.'!R10)=TRUE,COUNTIF('Prijava ekipa i izvlačenje br.'!$Q10,"A")=1),'Prijava ekipa i izvlačenje br.'!R10,""))))))</f>
        <v>9</v>
      </c>
      <c r="D10" s="421" t="str">
        <f>IF(ISBLANK('Prijava ekipa i izvlačenje br.'!C10)=TRUE,"",'Prijava ekipa i izvlačenje br.'!C10)</f>
        <v>Bjelka GME Sunja</v>
      </c>
      <c r="E10" s="421" t="str">
        <f>IF(COUNTIF('Prijava ekipa i izvlačenje br.'!$E10,"A")=1,'Prijava ekipa i izvlačenje br.'!$D10,IF(COUNTIF('Prijava ekipa i izvlačenje br.'!$H10,"A")=1,'Prijava ekipa i izvlačenje br.'!$G10,IF(COUNTIF('Prijava ekipa i izvlačenje br.'!$K10,"A")=1,'Prijava ekipa i izvlačenje br.'!$J10,IF(COUNTIF('Prijava ekipa i izvlačenje br.'!$N10,"A")=1,'Prijava ekipa i izvlačenje br.'!$M10,IF(COUNTIF('Prijava ekipa i izvlačenje br.'!$Q10,"A")=1,'Prijava ekipa i izvlačenje br.'!$P10,"")))))</f>
        <v>Domagoj Ceković</v>
      </c>
      <c r="F10" s="422">
        <v>1470</v>
      </c>
      <c r="G10" s="423">
        <f t="shared" si="0"/>
        <v>9</v>
      </c>
      <c r="H10" s="423">
        <f t="shared" si="1"/>
        <v>8</v>
      </c>
      <c r="I10" s="423">
        <v>41</v>
      </c>
      <c r="J10" s="423">
        <v>42</v>
      </c>
      <c r="K10" s="423">
        <v>43</v>
      </c>
      <c r="L10" s="423">
        <v>44</v>
      </c>
      <c r="M10" s="423">
        <v>45</v>
      </c>
      <c r="N10" s="422"/>
      <c r="O10" s="450"/>
      <c r="P10" s="451"/>
      <c r="Q10" s="451"/>
      <c r="R10" s="451"/>
      <c r="S10" s="451"/>
      <c r="T10" s="451"/>
      <c r="U10" s="451"/>
      <c r="V10" s="451"/>
      <c r="W10" s="451"/>
      <c r="X10" s="451"/>
    </row>
    <row r="11" spans="1:24" ht="12.75">
      <c r="A11" s="420"/>
      <c r="B11" s="54">
        <f>IF(AND(ISTEXT('Prijava ekipa i izvlačenje br.'!C11)=TRUE,ISNUMBER(F11)=FALSE,COUNTIF('Prijava ekipa i izvlačenje br.'!E11:'Prijava ekipa i izvlačenje br.'!Q11,"A")=0),COUNTA(D$2:D$13)-COUNTIF(D$2:D$13,"")+1,IF(AND(ISNUMBER(F11)=TRUE,ISNUMBER(N11)=TRUE),((COUNT(F$2:F$13)+1-RANK(F11,$F$2:$F$13,0)-RANK(F11,$F$2:$F$13,1))/2)+RANK(F11,$F$2:$F$13,0)+1,IF(ISNUMBER(F11)=TRUE,((COUNT(F$2:F$13)+1-RANK(F11,$F$2:$F$13,0)-RANK(F11,$F$2:$F$13,1))/2)+RANK(F11,$F$2:$F$13,0),"")))</f>
        <v>6</v>
      </c>
      <c r="C11" s="55">
        <f>IF(AND(ISNUMBER('Prijava ekipa i izvlačenje br.'!A11)=TRUE,COUNTIF(E11,"")=0),'Prijava ekipa i izvlačenje br.'!A11,IF(AND(ISNUMBER('Prijava ekipa i izvlačenje br.'!F11)=TRUE,COUNTIF('Prijava ekipa i izvlačenje br.'!$E11,"A")=1),'Prijava ekipa i izvlačenje br.'!F11,IF(AND(ISNUMBER('Prijava ekipa i izvlačenje br.'!I11)=TRUE,COUNTIF('Prijava ekipa i izvlačenje br.'!$H11,"A")=1),'Prijava ekipa i izvlačenje br.'!I11,IF(AND(ISNUMBER('Prijava ekipa i izvlačenje br.'!L11)=TRUE,COUNTIF('Prijava ekipa i izvlačenje br.'!$K11,"A")=1),'Prijava ekipa i izvlačenje br.'!L11,IF(AND(ISNUMBER('Prijava ekipa i izvlačenje br.'!O11)=TRUE,COUNTIF('Prijava ekipa i izvlačenje br.'!$N11,"A")=1),'Prijava ekipa i izvlačenje br.'!O11,IF(AND(ISNUMBER('Prijava ekipa i izvlačenje br.'!R11)=TRUE,COUNTIF('Prijava ekipa i izvlačenje br.'!$Q11,"A")=1),'Prijava ekipa i izvlačenje br.'!R11,""))))))</f>
        <v>10</v>
      </c>
      <c r="D11" s="421" t="str">
        <f>IF(ISBLANK('Prijava ekipa i izvlačenje br.'!C11)=TRUE,"",'Prijava ekipa i izvlačenje br.'!C11)</f>
        <v>TPK Zagreb</v>
      </c>
      <c r="E11" s="421" t="str">
        <f>IF(COUNTIF('Prijava ekipa i izvlačenje br.'!$E11,"A")=1,'Prijava ekipa i izvlačenje br.'!$D11,IF(COUNTIF('Prijava ekipa i izvlačenje br.'!$H11,"A")=1,'Prijava ekipa i izvlačenje br.'!$G11,IF(COUNTIF('Prijava ekipa i izvlačenje br.'!$K11,"A")=1,'Prijava ekipa i izvlačenje br.'!$J11,IF(COUNTIF('Prijava ekipa i izvlačenje br.'!$N11,"A")=1,'Prijava ekipa i izvlačenje br.'!$M11,IF(COUNTIF('Prijava ekipa i izvlačenje br.'!$Q11,"A")=1,'Prijava ekipa i izvlačenje br.'!$P11,"")))))</f>
        <v>Dalibor Agbaba</v>
      </c>
      <c r="F11" s="422">
        <v>1765</v>
      </c>
      <c r="G11" s="423">
        <f t="shared" si="0"/>
        <v>10</v>
      </c>
      <c r="H11" s="423">
        <f t="shared" si="1"/>
        <v>6</v>
      </c>
      <c r="I11" s="423">
        <v>46</v>
      </c>
      <c r="J11" s="423">
        <v>47</v>
      </c>
      <c r="K11" s="423">
        <v>48</v>
      </c>
      <c r="L11" s="423">
        <v>49</v>
      </c>
      <c r="M11" s="423">
        <v>50</v>
      </c>
      <c r="N11" s="422"/>
      <c r="O11" s="450"/>
      <c r="P11" s="451"/>
      <c r="Q11" s="451"/>
      <c r="R11" s="451"/>
      <c r="S11" s="451"/>
      <c r="T11" s="451"/>
      <c r="U11" s="451"/>
      <c r="V11" s="451"/>
      <c r="W11" s="451"/>
      <c r="X11" s="451"/>
    </row>
    <row r="12" spans="1:24" ht="12.75">
      <c r="A12" s="420"/>
      <c r="B12" s="54">
        <f>IF(AND(ISTEXT('Prijava ekipa i izvlačenje br.'!C12)=TRUE,ISNUMBER(F12)=FALSE,COUNTIF('Prijava ekipa i izvlačenje br.'!E12:'Prijava ekipa i izvlačenje br.'!Q12,"A")=0),COUNTA(D$2:D$13)-COUNTIF(D$2:D$13,"")+1,IF(AND(ISNUMBER(F12)=TRUE,ISNUMBER(N12)=TRUE),((COUNT(F$2:F$13)+1-RANK(F12,$F$2:$F$13,0)-RANK(F12,$F$2:$F$13,1))/2)+RANK(F12,$F$2:$F$13,0)+1,IF(ISNUMBER(F12)=TRUE,((COUNT(F$2:F$13)+1-RANK(F12,$F$2:$F$13,0)-RANK(F12,$F$2:$F$13,1))/2)+RANK(F12,$F$2:$F$13,0),"")))</f>
        <v>4</v>
      </c>
      <c r="C12" s="55">
        <f>IF(AND(ISNUMBER('Prijava ekipa i izvlačenje br.'!A12)=TRUE,COUNTIF(E12,"")=0),'Prijava ekipa i izvlačenje br.'!A12,IF(AND(ISNUMBER('Prijava ekipa i izvlačenje br.'!F12)=TRUE,COUNTIF('Prijava ekipa i izvlačenje br.'!$E12,"A")=1),'Prijava ekipa i izvlačenje br.'!F12,IF(AND(ISNUMBER('Prijava ekipa i izvlačenje br.'!I12)=TRUE,COUNTIF('Prijava ekipa i izvlačenje br.'!$H12,"A")=1),'Prijava ekipa i izvlačenje br.'!I12,IF(AND(ISNUMBER('Prijava ekipa i izvlačenje br.'!L12)=TRUE,COUNTIF('Prijava ekipa i izvlačenje br.'!$K12,"A")=1),'Prijava ekipa i izvlačenje br.'!L12,IF(AND(ISNUMBER('Prijava ekipa i izvlačenje br.'!O12)=TRUE,COUNTIF('Prijava ekipa i izvlačenje br.'!$N12,"A")=1),'Prijava ekipa i izvlačenje br.'!O12,IF(AND(ISNUMBER('Prijava ekipa i izvlačenje br.'!R12)=TRUE,COUNTIF('Prijava ekipa i izvlačenje br.'!$Q12,"A")=1),'Prijava ekipa i izvlačenje br.'!R12,""))))))</f>
        <v>11</v>
      </c>
      <c r="D12" s="421" t="str">
        <f>IF(ISBLANK('Prijava ekipa i izvlačenje br.'!C12)=TRUE,"",'Prijava ekipa i izvlačenje br.'!C12)</f>
        <v>Ilova Garešnica</v>
      </c>
      <c r="E12" s="421" t="str">
        <f>IF(COUNTIF('Prijava ekipa i izvlačenje br.'!$E12,"A")=1,'Prijava ekipa i izvlačenje br.'!$D12,IF(COUNTIF('Prijava ekipa i izvlačenje br.'!$H12,"A")=1,'Prijava ekipa i izvlačenje br.'!$G12,IF(COUNTIF('Prijava ekipa i izvlačenje br.'!$K12,"A")=1,'Prijava ekipa i izvlačenje br.'!$J12,IF(COUNTIF('Prijava ekipa i izvlačenje br.'!$N12,"A")=1,'Prijava ekipa i izvlačenje br.'!$M12,IF(COUNTIF('Prijava ekipa i izvlačenje br.'!$Q12,"A")=1,'Prijava ekipa i izvlačenje br.'!$P12,"")))))</f>
        <v>Zlatko Šapina</v>
      </c>
      <c r="F12" s="422">
        <v>2800</v>
      </c>
      <c r="G12" s="423">
        <f t="shared" si="0"/>
        <v>11</v>
      </c>
      <c r="H12" s="423">
        <f t="shared" si="1"/>
        <v>4</v>
      </c>
      <c r="I12" s="423">
        <v>51</v>
      </c>
      <c r="J12" s="423">
        <v>52</v>
      </c>
      <c r="K12" s="423">
        <v>53</v>
      </c>
      <c r="L12" s="423">
        <v>54</v>
      </c>
      <c r="M12" s="423">
        <v>55</v>
      </c>
      <c r="N12" s="422"/>
      <c r="O12" s="450"/>
      <c r="P12" s="451"/>
      <c r="Q12" s="451"/>
      <c r="R12" s="451"/>
      <c r="S12" s="451"/>
      <c r="T12" s="451"/>
      <c r="U12" s="451"/>
      <c r="V12" s="451"/>
      <c r="W12" s="451"/>
      <c r="X12" s="451"/>
    </row>
    <row r="13" spans="1:24" ht="13.5" thickBot="1">
      <c r="A13" s="424"/>
      <c r="B13" s="425">
        <f>IF(AND(ISTEXT('Prijava ekipa i izvlačenje br.'!C13)=TRUE,ISNUMBER(F13)=FALSE,COUNTIF('Prijava ekipa i izvlačenje br.'!E13:'Prijava ekipa i izvlačenje br.'!Q13,"A")=0),COUNTA(D$2:D$13)-COUNTIF(D$2:D$13,"")+1,IF(AND(ISNUMBER(F13)=TRUE,ISNUMBER(N13)=TRUE),((COUNT(F$2:F$13)+1-RANK(F13,$F$2:$F$13,0)-RANK(F13,$F$2:$F$13,1))/2)+RANK(F13,$F$2:$F$13,0)+1,IF(ISNUMBER(F13)=TRUE,((COUNT(F$2:F$13)+1-RANK(F13,$F$2:$F$13,0)-RANK(F13,$F$2:$F$13,1))/2)+RANK(F13,$F$2:$F$13,0),"")))</f>
        <v>7</v>
      </c>
      <c r="C13" s="426">
        <f>IF(AND(ISNUMBER('Prijava ekipa i izvlačenje br.'!A13)=TRUE,COUNTIF(E13,"")=0),'Prijava ekipa i izvlačenje br.'!A13,IF(AND(ISNUMBER('Prijava ekipa i izvlačenje br.'!F13)=TRUE,COUNTIF('Prijava ekipa i izvlačenje br.'!$E13,"A")=1),'Prijava ekipa i izvlačenje br.'!F13,IF(AND(ISNUMBER('Prijava ekipa i izvlačenje br.'!I13)=TRUE,COUNTIF('Prijava ekipa i izvlačenje br.'!$H13,"A")=1),'Prijava ekipa i izvlačenje br.'!I13,IF(AND(ISNUMBER('Prijava ekipa i izvlačenje br.'!L13)=TRUE,COUNTIF('Prijava ekipa i izvlačenje br.'!$K13,"A")=1),'Prijava ekipa i izvlačenje br.'!L13,IF(AND(ISNUMBER('Prijava ekipa i izvlačenje br.'!O13)=TRUE,COUNTIF('Prijava ekipa i izvlačenje br.'!$N13,"A")=1),'Prijava ekipa i izvlačenje br.'!O13,IF(AND(ISNUMBER('Prijava ekipa i izvlačenje br.'!R13)=TRUE,COUNTIF('Prijava ekipa i izvlačenje br.'!$Q13,"A")=1),'Prijava ekipa i izvlačenje br.'!R13,""))))))</f>
        <v>12</v>
      </c>
      <c r="D13" s="427" t="str">
        <f>IF(ISBLANK('Prijava ekipa i izvlačenje br.'!C13)=TRUE,"",'Prijava ekipa i izvlačenje br.'!C13)</f>
        <v>Jez Jasenovac</v>
      </c>
      <c r="E13" s="427" t="str">
        <f>IF(COUNTIF('Prijava ekipa i izvlačenje br.'!$E13,"A")=1,'Prijava ekipa i izvlačenje br.'!$D13,IF(COUNTIF('Prijava ekipa i izvlačenje br.'!$H13,"A")=1,'Prijava ekipa i izvlačenje br.'!$G13,IF(COUNTIF('Prijava ekipa i izvlačenje br.'!$K13,"A")=1,'Prijava ekipa i izvlačenje br.'!$J13,IF(COUNTIF('Prijava ekipa i izvlačenje br.'!$N13,"A")=1,'Prijava ekipa i izvlačenje br.'!$M13,IF(COUNTIF('Prijava ekipa i izvlačenje br.'!$Q13,"A")=1,'Prijava ekipa i izvlačenje br.'!$P13,"")))))</f>
        <v>Mladen Meseš</v>
      </c>
      <c r="F13" s="428">
        <v>1680</v>
      </c>
      <c r="G13" s="429">
        <f t="shared" si="0"/>
        <v>12</v>
      </c>
      <c r="H13" s="429">
        <f t="shared" si="1"/>
        <v>7</v>
      </c>
      <c r="I13" s="429">
        <v>56</v>
      </c>
      <c r="J13" s="429">
        <v>57</v>
      </c>
      <c r="K13" s="429">
        <v>58</v>
      </c>
      <c r="L13" s="429">
        <v>59</v>
      </c>
      <c r="M13" s="429">
        <v>60</v>
      </c>
      <c r="N13" s="428"/>
      <c r="O13" s="450"/>
      <c r="P13" s="451"/>
      <c r="Q13" s="451"/>
      <c r="R13" s="451"/>
      <c r="S13" s="451"/>
      <c r="T13" s="451"/>
      <c r="U13" s="451"/>
      <c r="V13" s="451"/>
      <c r="W13" s="451"/>
      <c r="X13" s="451"/>
    </row>
    <row r="14" ht="12.75">
      <c r="D14" s="454"/>
    </row>
  </sheetData>
  <sheetProtection password="C7E2" sheet="1" objects="1" scenarios="1"/>
  <printOptions/>
  <pageMargins left="0.7480314960629921" right="0.7480314960629921" top="0.984251968503937" bottom="0.984251968503937" header="0.5118110236220472" footer="0.5118110236220472"/>
  <pageSetup horizontalDpi="300" verticalDpi="300" orientation="portrait" paperSize="9" r:id="rId3"/>
  <headerFooter alignWithMargins="0">
    <oddFooter>&amp;C&amp;"Arial,Kurziv"&amp;8&amp;YProgram za izračun rezultata i provođenje natjecanja</oddFooter>
  </headerFooter>
  <legacyDrawing r:id="rId2"/>
</worksheet>
</file>

<file path=xl/worksheets/sheet11.xml><?xml version="1.0" encoding="utf-8"?>
<worksheet xmlns="http://schemas.openxmlformats.org/spreadsheetml/2006/main" xmlns:r="http://schemas.openxmlformats.org/officeDocument/2006/relationships">
  <sheetPr codeName="Sheet9">
    <tabColor indexed="10"/>
  </sheetPr>
  <dimension ref="A1:V13"/>
  <sheetViews>
    <sheetView showRowColHeaders="0" zoomScalePageLayoutView="0" workbookViewId="0" topLeftCell="A1">
      <selection activeCell="J24" sqref="J24"/>
    </sheetView>
  </sheetViews>
  <sheetFormatPr defaultColWidth="9.140625" defaultRowHeight="12.75"/>
  <cols>
    <col min="1" max="1" width="9.140625" style="444" customWidth="1"/>
    <col min="2" max="2" width="9.140625" style="452" customWidth="1"/>
    <col min="3" max="3" width="9.140625" style="459" customWidth="1"/>
    <col min="4" max="4" width="20.140625" style="453" customWidth="1"/>
    <col min="5" max="5" width="18.57421875" style="444" customWidth="1"/>
    <col min="6" max="6" width="9.140625" style="444" customWidth="1"/>
    <col min="7" max="9" width="0" style="459" hidden="1" customWidth="1"/>
    <col min="10" max="16384" width="9.140625" style="444" customWidth="1"/>
  </cols>
  <sheetData>
    <row r="1" spans="1:22" ht="255">
      <c r="A1" s="196"/>
      <c r="B1" s="146" t="s">
        <v>82</v>
      </c>
      <c r="C1" s="146" t="s">
        <v>23</v>
      </c>
      <c r="D1" s="140" t="s">
        <v>21</v>
      </c>
      <c r="E1" s="140" t="s">
        <v>83</v>
      </c>
      <c r="F1" s="195" t="s">
        <v>84</v>
      </c>
      <c r="G1" s="419" t="s">
        <v>23</v>
      </c>
      <c r="H1" s="419" t="str">
        <f>B1</f>
        <v>Sektorski plasman</v>
      </c>
      <c r="I1" s="419" t="s">
        <v>210</v>
      </c>
      <c r="J1" s="145" t="s">
        <v>220</v>
      </c>
      <c r="K1" s="456"/>
      <c r="L1" s="457"/>
      <c r="M1" s="457"/>
      <c r="N1" s="458"/>
      <c r="O1" s="458"/>
      <c r="P1" s="458"/>
      <c r="Q1" s="458"/>
      <c r="R1" s="458"/>
      <c r="S1" s="458"/>
      <c r="T1" s="458"/>
      <c r="U1" s="458"/>
      <c r="V1" s="458"/>
    </row>
    <row r="2" spans="1:22" ht="12.75">
      <c r="A2" s="49"/>
      <c r="B2" s="54">
        <f>IF(AND(ISTEXT('Prijava ekipa i izvlačenje br.'!C2)=TRUE,ISNUMBER(F2)=FALSE,COUNTIF('Prijava ekipa i izvlačenje br.'!E2:'Prijava ekipa i izvlačenje br.'!Q2,"B")=0),COUNTA(D$2:D$13)-COUNTIF(D$2:D$13,"")+1,IF(AND(ISNUMBER(F2)=TRUE,ISNUMBER(J2)=TRUE),((COUNT(F$2:F$13)+1-RANK(F2,$F$2:$F$13,0)-RANK(F2,$F$2:$F$13,1))/2)+RANK(F2,$F$2:$F$13,0)+1,IF(ISNUMBER(F2)=TRUE,((COUNT(F$2:F$13)+1-RANK(F2,$F$2:$F$13,0)-RANK(F2,$F$2:$F$13,1))/2)+RANK(F2,$F$2:$F$13,0),"")))</f>
        <v>1</v>
      </c>
      <c r="C2" s="55">
        <f>IF(AND(ISNUMBER('Prijava ekipa i izvlačenje br.'!A2)=TRUE,COUNTIF(E2,"")=0),'Prijava ekipa i izvlačenje br.'!A2,IF(AND(ISNUMBER('Prijava ekipa i izvlačenje br.'!F2)=TRUE,COUNTIF('Prijava ekipa i izvlačenje br.'!$E2,"B")=1),'Prijava ekipa i izvlačenje br.'!F2,IF(AND(ISNUMBER('Prijava ekipa i izvlačenje br.'!I2)=TRUE,COUNTIF('Prijava ekipa i izvlačenje br.'!$H2,"B")=1),'Prijava ekipa i izvlačenje br.'!I2,IF(AND(ISNUMBER('Prijava ekipa i izvlačenje br.'!L2)=TRUE,COUNTIF('Prijava ekipa i izvlačenje br.'!$K2,"B")=1),'Prijava ekipa i izvlačenje br.'!L2,IF(AND(ISNUMBER('Prijava ekipa i izvlačenje br.'!O2)=TRUE,COUNTIF('Prijava ekipa i izvlačenje br.'!$N2,"B")=1),'Prijava ekipa i izvlačenje br.'!O2,IF(AND(ISNUMBER('Prijava ekipa i izvlačenje br.'!R2)=TRUE,COUNTIF('Prijava ekipa i izvlačenje br.'!$Q2,"B")=1),'Prijava ekipa i izvlačenje br.'!R2,""))))))</f>
        <v>1</v>
      </c>
      <c r="D2" s="430" t="str">
        <f>IF(ISBLANK('Prijava ekipa i izvlačenje br.'!C2)=TRUE,"",'Prijava ekipa i izvlačenje br.'!C2)</f>
        <v>Korana Karlovac</v>
      </c>
      <c r="E2" s="8" t="str">
        <f>IF(COUNTIF('Prijava ekipa i izvlačenje br.'!$E2,"B")=1,'Prijava ekipa i izvlačenje br.'!$D2,IF(COUNTIF('Prijava ekipa i izvlačenje br.'!$H2,"B")=1,'Prijava ekipa i izvlačenje br.'!$G2,IF(COUNTIF('Prijava ekipa i izvlačenje br.'!$K2,"B")=1,'Prijava ekipa i izvlačenje br.'!$J2,IF(COUNTIF('Prijava ekipa i izvlačenje br.'!$N2,"B")=1,'Prijava ekipa i izvlačenje br.'!$M2,IF(COUNTIF('Prijava ekipa i izvlačenje br.'!$Q2,"B")=1,'Prijava ekipa i izvlačenje br.'!$P2,"")))))</f>
        <v>Nenad Viboh</v>
      </c>
      <c r="F2" s="422">
        <v>5000</v>
      </c>
      <c r="G2" s="53">
        <f>VLOOKUP(D2,'Upis rezultata A sektora'!$D$2:$M$13,7,0)</f>
        <v>2</v>
      </c>
      <c r="H2" s="53">
        <f>B2</f>
        <v>1</v>
      </c>
      <c r="I2" s="53">
        <f>C2</f>
        <v>1</v>
      </c>
      <c r="J2" s="422"/>
      <c r="K2" s="460"/>
      <c r="L2" s="458"/>
      <c r="M2" s="458"/>
      <c r="N2" s="458"/>
      <c r="O2" s="458"/>
      <c r="P2" s="458"/>
      <c r="Q2" s="458"/>
      <c r="R2" s="458"/>
      <c r="S2" s="458"/>
      <c r="T2" s="458"/>
      <c r="U2" s="458"/>
      <c r="V2" s="458"/>
    </row>
    <row r="3" spans="1:22" ht="12.75">
      <c r="A3" s="49"/>
      <c r="B3" s="54">
        <f>IF(AND(ISTEXT('Prijava ekipa i izvlačenje br.'!C3)=TRUE,ISNUMBER(F3)=FALSE,COUNTIF('Prijava ekipa i izvlačenje br.'!E3:'Prijava ekipa i izvlačenje br.'!Q3,"B")=0),COUNTA(D$2:D$13)-COUNTIF(D$2:D$13,"")+1,IF(AND(ISNUMBER(F3)=TRUE,ISNUMBER(J3)=TRUE),((COUNT(F$2:F$13)+1-RANK(F3,$F$2:$F$13,0)-RANK(F3,$F$2:$F$13,1))/2)+RANK(F3,$F$2:$F$13,0)+1,IF(ISNUMBER(F3)=TRUE,((COUNT(F$2:F$13)+1-RANK(F3,$F$2:$F$13,0)-RANK(F3,$F$2:$F$13,1))/2)+RANK(F3,$F$2:$F$13,0),"")))</f>
        <v>3</v>
      </c>
      <c r="C3" s="55">
        <f>IF(AND(ISNUMBER('Prijava ekipa i izvlačenje br.'!A3)=TRUE,COUNTIF(E3,"")=0),'Prijava ekipa i izvlačenje br.'!A3,IF(AND(ISNUMBER('Prijava ekipa i izvlačenje br.'!F3)=TRUE,COUNTIF('Prijava ekipa i izvlačenje br.'!$E3,"B")=1),'Prijava ekipa i izvlačenje br.'!F3,IF(AND(ISNUMBER('Prijava ekipa i izvlačenje br.'!I3)=TRUE,COUNTIF('Prijava ekipa i izvlačenje br.'!$H3,"B")=1),'Prijava ekipa i izvlačenje br.'!I3,IF(AND(ISNUMBER('Prijava ekipa i izvlačenje br.'!L3)=TRUE,COUNTIF('Prijava ekipa i izvlačenje br.'!$K3,"B")=1),'Prijava ekipa i izvlačenje br.'!L3,IF(AND(ISNUMBER('Prijava ekipa i izvlačenje br.'!O3)=TRUE,COUNTIF('Prijava ekipa i izvlačenje br.'!$N3,"B")=1),'Prijava ekipa i izvlačenje br.'!O3,IF(AND(ISNUMBER('Prijava ekipa i izvlačenje br.'!R3)=TRUE,COUNTIF('Prijava ekipa i izvlačenje br.'!$Q3,"B")=1),'Prijava ekipa i izvlačenje br.'!R3,""))))))</f>
        <v>2</v>
      </c>
      <c r="D3" s="430" t="str">
        <f>IF(ISBLANK('Prijava ekipa i izvlačenje br.'!C3)=TRUE,"",'Prijava ekipa i izvlačenje br.'!C3)</f>
        <v>Štuka Torčec</v>
      </c>
      <c r="E3" s="8" t="str">
        <f>IF(COUNTIF('Prijava ekipa i izvlačenje br.'!$E3,"B")=1,'Prijava ekipa i izvlačenje br.'!$D3,IF(COUNTIF('Prijava ekipa i izvlačenje br.'!$H3,"B")=1,'Prijava ekipa i izvlačenje br.'!$G3,IF(COUNTIF('Prijava ekipa i izvlačenje br.'!$K3,"B")=1,'Prijava ekipa i izvlačenje br.'!$J3,IF(COUNTIF('Prijava ekipa i izvlačenje br.'!$N3,"B")=1,'Prijava ekipa i izvlačenje br.'!$M3,IF(COUNTIF('Prijava ekipa i izvlačenje br.'!$Q3,"B")=1,'Prijava ekipa i izvlačenje br.'!$P3,"")))))</f>
        <v>Goran Matijašić</v>
      </c>
      <c r="F3" s="422">
        <v>2536</v>
      </c>
      <c r="G3" s="53">
        <f>VLOOKUP(D3,'Upis rezultata A sektora'!$D$2:$M$13,7,0)</f>
        <v>7</v>
      </c>
      <c r="H3" s="53">
        <f aca="true" t="shared" si="0" ref="H3:H13">B3</f>
        <v>3</v>
      </c>
      <c r="I3" s="53">
        <f aca="true" t="shared" si="1" ref="I3:I13">C3</f>
        <v>2</v>
      </c>
      <c r="J3" s="422"/>
      <c r="K3" s="460"/>
      <c r="L3" s="458"/>
      <c r="M3" s="458"/>
      <c r="N3" s="458"/>
      <c r="O3" s="458"/>
      <c r="P3" s="458"/>
      <c r="Q3" s="458"/>
      <c r="R3" s="458"/>
      <c r="S3" s="458"/>
      <c r="T3" s="458"/>
      <c r="U3" s="458"/>
      <c r="V3" s="458"/>
    </row>
    <row r="4" spans="1:22" ht="12.75">
      <c r="A4" s="49"/>
      <c r="B4" s="54">
        <f>IF(AND(ISTEXT('Prijava ekipa i izvlačenje br.'!C4)=TRUE,ISNUMBER(F4)=FALSE,COUNTIF('Prijava ekipa i izvlačenje br.'!E4:'Prijava ekipa i izvlačenje br.'!Q4,"B")=0),COUNTA(D$2:D$13)-COUNTIF(D$2:D$13,"")+1,IF(AND(ISNUMBER(F4)=TRUE,ISNUMBER(J4)=TRUE),((COUNT(F$2:F$13)+1-RANK(F4,$F$2:$F$13,0)-RANK(F4,$F$2:$F$13,1))/2)+RANK(F4,$F$2:$F$13,0)+1,IF(ISNUMBER(F4)=TRUE,((COUNT(F$2:F$13)+1-RANK(F4,$F$2:$F$13,0)-RANK(F4,$F$2:$F$13,1))/2)+RANK(F4,$F$2:$F$13,0),"")))</f>
        <v>4</v>
      </c>
      <c r="C4" s="55">
        <f>IF(AND(ISNUMBER('Prijava ekipa i izvlačenje br.'!A4)=TRUE,COUNTIF(E4,"")=0),'Prijava ekipa i izvlačenje br.'!A4,IF(AND(ISNUMBER('Prijava ekipa i izvlačenje br.'!F4)=TRUE,COUNTIF('Prijava ekipa i izvlačenje br.'!$E4,"B")=1),'Prijava ekipa i izvlačenje br.'!F4,IF(AND(ISNUMBER('Prijava ekipa i izvlačenje br.'!I4)=TRUE,COUNTIF('Prijava ekipa i izvlačenje br.'!$H4,"B")=1),'Prijava ekipa i izvlačenje br.'!I4,IF(AND(ISNUMBER('Prijava ekipa i izvlačenje br.'!L4)=TRUE,COUNTIF('Prijava ekipa i izvlačenje br.'!$K4,"B")=1),'Prijava ekipa i izvlačenje br.'!L4,IF(AND(ISNUMBER('Prijava ekipa i izvlačenje br.'!O4)=TRUE,COUNTIF('Prijava ekipa i izvlačenje br.'!$N4,"B")=1),'Prijava ekipa i izvlačenje br.'!O4,IF(AND(ISNUMBER('Prijava ekipa i izvlačenje br.'!R4)=TRUE,COUNTIF('Prijava ekipa i izvlačenje br.'!$Q4,"B")=1),'Prijava ekipa i izvlačenje br.'!R4,""))))))</f>
        <v>3</v>
      </c>
      <c r="D4" s="430" t="str">
        <f>IF(ISBLANK('Prijava ekipa i izvlačenje br.'!C4)=TRUE,"",'Prijava ekipa i izvlačenje br.'!C4)</f>
        <v>Rak Rakitje</v>
      </c>
      <c r="E4" s="8" t="str">
        <f>IF(COUNTIF('Prijava ekipa i izvlačenje br.'!$E4,"B")=1,'Prijava ekipa i izvlačenje br.'!$D4,IF(COUNTIF('Prijava ekipa i izvlačenje br.'!$H4,"B")=1,'Prijava ekipa i izvlačenje br.'!$G4,IF(COUNTIF('Prijava ekipa i izvlačenje br.'!$K4,"B")=1,'Prijava ekipa i izvlačenje br.'!$J4,IF(COUNTIF('Prijava ekipa i izvlačenje br.'!$N4,"B")=1,'Prijava ekipa i izvlačenje br.'!$M4,IF(COUNTIF('Prijava ekipa i izvlačenje br.'!$Q4,"B")=1,'Prijava ekipa i izvlačenje br.'!$P4,"")))))</f>
        <v>Martin Vrčković</v>
      </c>
      <c r="F4" s="422">
        <v>2452</v>
      </c>
      <c r="G4" s="53">
        <f>VLOOKUP(D4,'Upis rezultata A sektora'!$D$2:$M$13,7,0)</f>
        <v>12</v>
      </c>
      <c r="H4" s="53">
        <f t="shared" si="0"/>
        <v>4</v>
      </c>
      <c r="I4" s="53">
        <f t="shared" si="1"/>
        <v>3</v>
      </c>
      <c r="J4" s="422"/>
      <c r="K4" s="460"/>
      <c r="L4" s="458"/>
      <c r="M4" s="458"/>
      <c r="N4" s="458"/>
      <c r="O4" s="458"/>
      <c r="P4" s="458"/>
      <c r="Q4" s="458"/>
      <c r="R4" s="458"/>
      <c r="S4" s="458"/>
      <c r="T4" s="458"/>
      <c r="U4" s="458"/>
      <c r="V4" s="458"/>
    </row>
    <row r="5" spans="1:22" ht="12.75">
      <c r="A5" s="49"/>
      <c r="B5" s="54">
        <f>IF(AND(ISTEXT('Prijava ekipa i izvlačenje br.'!C5)=TRUE,ISNUMBER(F5)=FALSE,COUNTIF('Prijava ekipa i izvlačenje br.'!E5:'Prijava ekipa i izvlačenje br.'!Q5,"B")=0),COUNTA(D$2:D$13)-COUNTIF(D$2:D$13,"")+1,IF(AND(ISNUMBER(F5)=TRUE,ISNUMBER(J5)=TRUE),((COUNT(F$2:F$13)+1-RANK(F5,$F$2:$F$13,0)-RANK(F5,$F$2:$F$13,1))/2)+RANK(F5,$F$2:$F$13,0)+1,IF(ISNUMBER(F5)=TRUE,((COUNT(F$2:F$13)+1-RANK(F5,$F$2:$F$13,0)-RANK(F5,$F$2:$F$13,1))/2)+RANK(F5,$F$2:$F$13,0),"")))</f>
        <v>5</v>
      </c>
      <c r="C5" s="55">
        <f>IF(AND(ISNUMBER('Prijava ekipa i izvlačenje br.'!A5)=TRUE,COUNTIF(E5,"")=0),'Prijava ekipa i izvlačenje br.'!A5,IF(AND(ISNUMBER('Prijava ekipa i izvlačenje br.'!F5)=TRUE,COUNTIF('Prijava ekipa i izvlačenje br.'!$E5,"B")=1),'Prijava ekipa i izvlačenje br.'!F5,IF(AND(ISNUMBER('Prijava ekipa i izvlačenje br.'!I5)=TRUE,COUNTIF('Prijava ekipa i izvlačenje br.'!$H5,"B")=1),'Prijava ekipa i izvlačenje br.'!I5,IF(AND(ISNUMBER('Prijava ekipa i izvlačenje br.'!L5)=TRUE,COUNTIF('Prijava ekipa i izvlačenje br.'!$K5,"B")=1),'Prijava ekipa i izvlačenje br.'!L5,IF(AND(ISNUMBER('Prijava ekipa i izvlačenje br.'!O5)=TRUE,COUNTIF('Prijava ekipa i izvlačenje br.'!$N5,"B")=1),'Prijava ekipa i izvlačenje br.'!O5,IF(AND(ISNUMBER('Prijava ekipa i izvlačenje br.'!R5)=TRUE,COUNTIF('Prijava ekipa i izvlačenje br.'!$Q5,"B")=1),'Prijava ekipa i izvlačenje br.'!R5,""))))))</f>
        <v>4</v>
      </c>
      <c r="D5" s="430" t="str">
        <f>IF(ISBLANK('Prijava ekipa i izvlačenje br.'!C5)=TRUE,"",'Prijava ekipa i izvlačenje br.'!C5)</f>
        <v>Bjelovar Bjelovar</v>
      </c>
      <c r="E5" s="8" t="str">
        <f>IF(COUNTIF('Prijava ekipa i izvlačenje br.'!$E5,"B")=1,'Prijava ekipa i izvlačenje br.'!$D5,IF(COUNTIF('Prijava ekipa i izvlačenje br.'!$H5,"B")=1,'Prijava ekipa i izvlačenje br.'!$G5,IF(COUNTIF('Prijava ekipa i izvlačenje br.'!$K5,"B")=1,'Prijava ekipa i izvlačenje br.'!$J5,IF(COUNTIF('Prijava ekipa i izvlačenje br.'!$N5,"B")=1,'Prijava ekipa i izvlačenje br.'!$M5,IF(COUNTIF('Prijava ekipa i izvlačenje br.'!$Q5,"B")=1,'Prijava ekipa i izvlačenje br.'!$P5,"")))))</f>
        <v>Vladimir Šuker</v>
      </c>
      <c r="F5" s="422">
        <v>2320</v>
      </c>
      <c r="G5" s="53">
        <f>VLOOKUP(D5,'Upis rezultata A sektora'!$D$2:$M$13,7,0)</f>
        <v>17</v>
      </c>
      <c r="H5" s="53">
        <f t="shared" si="0"/>
        <v>5</v>
      </c>
      <c r="I5" s="53">
        <f t="shared" si="1"/>
        <v>4</v>
      </c>
      <c r="J5" s="422"/>
      <c r="K5" s="460"/>
      <c r="L5" s="458"/>
      <c r="M5" s="458"/>
      <c r="N5" s="458"/>
      <c r="O5" s="458"/>
      <c r="P5" s="458"/>
      <c r="Q5" s="458"/>
      <c r="R5" s="458"/>
      <c r="S5" s="458"/>
      <c r="T5" s="458"/>
      <c r="U5" s="458"/>
      <c r="V5" s="458"/>
    </row>
    <row r="6" spans="1:22" ht="12.75">
      <c r="A6" s="49"/>
      <c r="B6" s="54">
        <f>IF(AND(ISTEXT('Prijava ekipa i izvlačenje br.'!C6)=TRUE,ISNUMBER(F6)=FALSE,COUNTIF('Prijava ekipa i izvlačenje br.'!E6:'Prijava ekipa i izvlačenje br.'!Q6,"B")=0),COUNTA(D$2:D$13)-COUNTIF(D$2:D$13,"")+1,IF(AND(ISNUMBER(F6)=TRUE,ISNUMBER(J6)=TRUE),((COUNT(F$2:F$13)+1-RANK(F6,$F$2:$F$13,0)-RANK(F6,$F$2:$F$13,1))/2)+RANK(F6,$F$2:$F$13,0)+1,IF(ISNUMBER(F6)=TRUE,((COUNT(F$2:F$13)+1-RANK(F6,$F$2:$F$13,0)-RANK(F6,$F$2:$F$13,1))/2)+RANK(F6,$F$2:$F$13,0),"")))</f>
        <v>12</v>
      </c>
      <c r="C6" s="55">
        <f>IF(AND(ISNUMBER('Prijava ekipa i izvlačenje br.'!A6)=TRUE,COUNTIF(E6,"")=0),'Prijava ekipa i izvlačenje br.'!A6,IF(AND(ISNUMBER('Prijava ekipa i izvlačenje br.'!F6)=TRUE,COUNTIF('Prijava ekipa i izvlačenje br.'!$E6,"B")=1),'Prijava ekipa i izvlačenje br.'!F6,IF(AND(ISNUMBER('Prijava ekipa i izvlačenje br.'!I6)=TRUE,COUNTIF('Prijava ekipa i izvlačenje br.'!$H6,"B")=1),'Prijava ekipa i izvlačenje br.'!I6,IF(AND(ISNUMBER('Prijava ekipa i izvlačenje br.'!L6)=TRUE,COUNTIF('Prijava ekipa i izvlačenje br.'!$K6,"B")=1),'Prijava ekipa i izvlačenje br.'!L6,IF(AND(ISNUMBER('Prijava ekipa i izvlačenje br.'!O6)=TRUE,COUNTIF('Prijava ekipa i izvlačenje br.'!$N6,"B")=1),'Prijava ekipa i izvlačenje br.'!O6,IF(AND(ISNUMBER('Prijava ekipa i izvlačenje br.'!R6)=TRUE,COUNTIF('Prijava ekipa i izvlačenje br.'!$Q6,"B")=1),'Prijava ekipa i izvlačenje br.'!R6,""))))))</f>
        <v>5</v>
      </c>
      <c r="D6" s="430" t="str">
        <f>IF(ISBLANK('Prijava ekipa i izvlačenje br.'!C6)=TRUE,"",'Prijava ekipa i izvlačenje br.'!C6)</f>
        <v>Varaždin Varaždin</v>
      </c>
      <c r="E6" s="8" t="str">
        <f>IF(COUNTIF('Prijava ekipa i izvlačenje br.'!$E6,"B")=1,'Prijava ekipa i izvlačenje br.'!$D6,IF(COUNTIF('Prijava ekipa i izvlačenje br.'!$H6,"B")=1,'Prijava ekipa i izvlačenje br.'!$G6,IF(COUNTIF('Prijava ekipa i izvlačenje br.'!$K6,"B")=1,'Prijava ekipa i izvlačenje br.'!$J6,IF(COUNTIF('Prijava ekipa i izvlačenje br.'!$N6,"B")=1,'Prijava ekipa i izvlačenje br.'!$M6,IF(COUNTIF('Prijava ekipa i izvlačenje br.'!$Q6,"B")=1,'Prijava ekipa i izvlačenje br.'!$P6,"")))))</f>
        <v>Tihomir Hunjak</v>
      </c>
      <c r="F6" s="422">
        <v>1004</v>
      </c>
      <c r="G6" s="53">
        <f>VLOOKUP(D6,'Upis rezultata A sektora'!$D$2:$M$13,7,0)</f>
        <v>22</v>
      </c>
      <c r="H6" s="53">
        <f t="shared" si="0"/>
        <v>12</v>
      </c>
      <c r="I6" s="53">
        <f t="shared" si="1"/>
        <v>5</v>
      </c>
      <c r="J6" s="422"/>
      <c r="K6" s="460"/>
      <c r="L6" s="458"/>
      <c r="M6" s="458"/>
      <c r="N6" s="458"/>
      <c r="O6" s="458"/>
      <c r="P6" s="458"/>
      <c r="Q6" s="458"/>
      <c r="R6" s="458"/>
      <c r="S6" s="458"/>
      <c r="T6" s="458"/>
      <c r="U6" s="458"/>
      <c r="V6" s="458"/>
    </row>
    <row r="7" spans="1:22" ht="12.75">
      <c r="A7" s="49"/>
      <c r="B7" s="54">
        <f>IF(AND(ISTEXT('Prijava ekipa i izvlačenje br.'!C7)=TRUE,ISNUMBER(F7)=FALSE,COUNTIF('Prijava ekipa i izvlačenje br.'!E7:'Prijava ekipa i izvlačenje br.'!Q7,"B")=0),COUNTA(D$2:D$13)-COUNTIF(D$2:D$13,"")+1,IF(AND(ISNUMBER(F7)=TRUE,ISNUMBER(J7)=TRUE),((COUNT(F$2:F$13)+1-RANK(F7,$F$2:$F$13,0)-RANK(F7,$F$2:$F$13,1))/2)+RANK(F7,$F$2:$F$13,0)+1,IF(ISNUMBER(F7)=TRUE,((COUNT(F$2:F$13)+1-RANK(F7,$F$2:$F$13,0)-RANK(F7,$F$2:$F$13,1))/2)+RANK(F7,$F$2:$F$13,0),"")))</f>
        <v>10.5</v>
      </c>
      <c r="C7" s="55">
        <f>IF(AND(ISNUMBER('Prijava ekipa i izvlačenje br.'!A7)=TRUE,COUNTIF(E7,"")=0),'Prijava ekipa i izvlačenje br.'!A7,IF(AND(ISNUMBER('Prijava ekipa i izvlačenje br.'!F7)=TRUE,COUNTIF('Prijava ekipa i izvlačenje br.'!$E7,"B")=1),'Prijava ekipa i izvlačenje br.'!F7,IF(AND(ISNUMBER('Prijava ekipa i izvlačenje br.'!I7)=TRUE,COUNTIF('Prijava ekipa i izvlačenje br.'!$H7,"B")=1),'Prijava ekipa i izvlačenje br.'!I7,IF(AND(ISNUMBER('Prijava ekipa i izvlačenje br.'!L7)=TRUE,COUNTIF('Prijava ekipa i izvlačenje br.'!$K7,"B")=1),'Prijava ekipa i izvlačenje br.'!L7,IF(AND(ISNUMBER('Prijava ekipa i izvlačenje br.'!O7)=TRUE,COUNTIF('Prijava ekipa i izvlačenje br.'!$N7,"B")=1),'Prijava ekipa i izvlačenje br.'!O7,IF(AND(ISNUMBER('Prijava ekipa i izvlačenje br.'!R7)=TRUE,COUNTIF('Prijava ekipa i izvlačenje br.'!$Q7,"B")=1),'Prijava ekipa i izvlačenje br.'!R7,""))))))</f>
        <v>6</v>
      </c>
      <c r="D7" s="430" t="str">
        <f>IF(ISBLANK('Prijava ekipa i izvlačenje br.'!C7)=TRUE,"",'Prijava ekipa i izvlačenje br.'!C7)</f>
        <v>Azzuro Varaždin</v>
      </c>
      <c r="E7" s="8" t="str">
        <f>IF(COUNTIF('Prijava ekipa i izvlačenje br.'!$E7,"B")=1,'Prijava ekipa i izvlačenje br.'!$D7,IF(COUNTIF('Prijava ekipa i izvlačenje br.'!$H7,"B")=1,'Prijava ekipa i izvlačenje br.'!$G7,IF(COUNTIF('Prijava ekipa i izvlačenje br.'!$K7,"B")=1,'Prijava ekipa i izvlačenje br.'!$J7,IF(COUNTIF('Prijava ekipa i izvlačenje br.'!$N7,"B")=1,'Prijava ekipa i izvlačenje br.'!$M7,IF(COUNTIF('Prijava ekipa i izvlačenje br.'!$Q7,"B")=1,'Prijava ekipa i izvlačenje br.'!$P7,"")))))</f>
        <v>Zlatko Kračun</v>
      </c>
      <c r="F7" s="422">
        <v>1119</v>
      </c>
      <c r="G7" s="53">
        <f>VLOOKUP(D7,'Upis rezultata A sektora'!$D$2:$M$13,7,0)</f>
        <v>27</v>
      </c>
      <c r="H7" s="53">
        <f t="shared" si="0"/>
        <v>10.5</v>
      </c>
      <c r="I7" s="53">
        <f t="shared" si="1"/>
        <v>6</v>
      </c>
      <c r="J7" s="422"/>
      <c r="K7" s="460"/>
      <c r="L7" s="458"/>
      <c r="M7" s="458"/>
      <c r="N7" s="458"/>
      <c r="O7" s="458"/>
      <c r="P7" s="458"/>
      <c r="Q7" s="458"/>
      <c r="R7" s="458"/>
      <c r="S7" s="458"/>
      <c r="T7" s="458"/>
      <c r="U7" s="458"/>
      <c r="V7" s="458"/>
    </row>
    <row r="8" spans="1:22" ht="12.75">
      <c r="A8" s="49"/>
      <c r="B8" s="54">
        <f>IF(AND(ISTEXT('Prijava ekipa i izvlačenje br.'!C8)=TRUE,ISNUMBER(F8)=FALSE,COUNTIF('Prijava ekipa i izvlačenje br.'!E8:'Prijava ekipa i izvlačenje br.'!Q8,"B")=0),COUNTA(D$2:D$13)-COUNTIF(D$2:D$13,"")+1,IF(AND(ISNUMBER(F8)=TRUE,ISNUMBER(J8)=TRUE),((COUNT(F$2:F$13)+1-RANK(F8,$F$2:$F$13,0)-RANK(F8,$F$2:$F$13,1))/2)+RANK(F8,$F$2:$F$13,0)+1,IF(ISNUMBER(F8)=TRUE,((COUNT(F$2:F$13)+1-RANK(F8,$F$2:$F$13,0)-RANK(F8,$F$2:$F$13,1))/2)+RANK(F8,$F$2:$F$13,0),"")))</f>
        <v>7</v>
      </c>
      <c r="C8" s="55">
        <f>IF(AND(ISNUMBER('Prijava ekipa i izvlačenje br.'!A8)=TRUE,COUNTIF(E8,"")=0),'Prijava ekipa i izvlačenje br.'!A8,IF(AND(ISNUMBER('Prijava ekipa i izvlačenje br.'!F8)=TRUE,COUNTIF('Prijava ekipa i izvlačenje br.'!$E8,"B")=1),'Prijava ekipa i izvlačenje br.'!F8,IF(AND(ISNUMBER('Prijava ekipa i izvlačenje br.'!I8)=TRUE,COUNTIF('Prijava ekipa i izvlačenje br.'!$H8,"B")=1),'Prijava ekipa i izvlačenje br.'!I8,IF(AND(ISNUMBER('Prijava ekipa i izvlačenje br.'!L8)=TRUE,COUNTIF('Prijava ekipa i izvlačenje br.'!$K8,"B")=1),'Prijava ekipa i izvlačenje br.'!L8,IF(AND(ISNUMBER('Prijava ekipa i izvlačenje br.'!O8)=TRUE,COUNTIF('Prijava ekipa i izvlačenje br.'!$N8,"B")=1),'Prijava ekipa i izvlačenje br.'!O8,IF(AND(ISNUMBER('Prijava ekipa i izvlačenje br.'!R8)=TRUE,COUNTIF('Prijava ekipa i izvlačenje br.'!$Q8,"B")=1),'Prijava ekipa i izvlačenje br.'!R8,""))))))</f>
        <v>7</v>
      </c>
      <c r="D8" s="430" t="str">
        <f>IF(ISBLANK('Prijava ekipa i izvlačenje br.'!C8)=TRUE,"",'Prijava ekipa i izvlačenje br.'!C8)</f>
        <v>Trnje-ŠR Zagreb</v>
      </c>
      <c r="E8" s="8" t="str">
        <f>IF(COUNTIF('Prijava ekipa i izvlačenje br.'!$E8,"B")=1,'Prijava ekipa i izvlačenje br.'!$D8,IF(COUNTIF('Prijava ekipa i izvlačenje br.'!$H8,"B")=1,'Prijava ekipa i izvlačenje br.'!$G8,IF(COUNTIF('Prijava ekipa i izvlačenje br.'!$K8,"B")=1,'Prijava ekipa i izvlačenje br.'!$J8,IF(COUNTIF('Prijava ekipa i izvlačenje br.'!$N8,"B")=1,'Prijava ekipa i izvlačenje br.'!$M8,IF(COUNTIF('Prijava ekipa i izvlačenje br.'!$Q8,"B")=1,'Prijava ekipa i izvlačenje br.'!$P8,"")))))</f>
        <v>Željko Raženj</v>
      </c>
      <c r="F8" s="422">
        <v>1895</v>
      </c>
      <c r="G8" s="53">
        <f>VLOOKUP(D8,'Upis rezultata A sektora'!$D$2:$M$13,7,0)</f>
        <v>32</v>
      </c>
      <c r="H8" s="53">
        <f t="shared" si="0"/>
        <v>7</v>
      </c>
      <c r="I8" s="53">
        <f t="shared" si="1"/>
        <v>7</v>
      </c>
      <c r="J8" s="422"/>
      <c r="K8" s="460"/>
      <c r="L8" s="458"/>
      <c r="M8" s="458"/>
      <c r="N8" s="458"/>
      <c r="O8" s="458"/>
      <c r="P8" s="458"/>
      <c r="Q8" s="458"/>
      <c r="R8" s="458"/>
      <c r="S8" s="458"/>
      <c r="T8" s="458"/>
      <c r="U8" s="458"/>
      <c r="V8" s="458"/>
    </row>
    <row r="9" spans="1:22" ht="12.75">
      <c r="A9" s="49"/>
      <c r="B9" s="54">
        <f>IF(AND(ISTEXT('Prijava ekipa i izvlačenje br.'!C9)=TRUE,ISNUMBER(F9)=FALSE,COUNTIF('Prijava ekipa i izvlačenje br.'!E9:'Prijava ekipa i izvlačenje br.'!Q9,"B")=0),COUNTA(D$2:D$13)-COUNTIF(D$2:D$13,"")+1,IF(AND(ISNUMBER(F9)=TRUE,ISNUMBER(J9)=TRUE),((COUNT(F$2:F$13)+1-RANK(F9,$F$2:$F$13,0)-RANK(F9,$F$2:$F$13,1))/2)+RANK(F9,$F$2:$F$13,0)+1,IF(ISNUMBER(F9)=TRUE,((COUNT(F$2:F$13)+1-RANK(F9,$F$2:$F$13,0)-RANK(F9,$F$2:$F$13,1))/2)+RANK(F9,$F$2:$F$13,0),"")))</f>
        <v>6</v>
      </c>
      <c r="C9" s="55">
        <f>IF(AND(ISNUMBER('Prijava ekipa i izvlačenje br.'!A9)=TRUE,COUNTIF(E9,"")=0),'Prijava ekipa i izvlačenje br.'!A9,IF(AND(ISNUMBER('Prijava ekipa i izvlačenje br.'!F9)=TRUE,COUNTIF('Prijava ekipa i izvlačenje br.'!$E9,"B")=1),'Prijava ekipa i izvlačenje br.'!F9,IF(AND(ISNUMBER('Prijava ekipa i izvlačenje br.'!I9)=TRUE,COUNTIF('Prijava ekipa i izvlačenje br.'!$H9,"B")=1),'Prijava ekipa i izvlačenje br.'!I9,IF(AND(ISNUMBER('Prijava ekipa i izvlačenje br.'!L9)=TRUE,COUNTIF('Prijava ekipa i izvlačenje br.'!$K9,"B")=1),'Prijava ekipa i izvlačenje br.'!L9,IF(AND(ISNUMBER('Prijava ekipa i izvlačenje br.'!O9)=TRUE,COUNTIF('Prijava ekipa i izvlačenje br.'!$N9,"B")=1),'Prijava ekipa i izvlačenje br.'!O9,IF(AND(ISNUMBER('Prijava ekipa i izvlačenje br.'!R9)=TRUE,COUNTIF('Prijava ekipa i izvlačenje br.'!$Q9,"B")=1),'Prijava ekipa i izvlačenje br.'!R9,""))))))</f>
        <v>8</v>
      </c>
      <c r="D9" s="430" t="str">
        <f>IF(ISBLANK('Prijava ekipa i izvlačenje br.'!C9)=TRUE,"",'Prijava ekipa i izvlačenje br.'!C9)</f>
        <v>Klen N.Gradiška</v>
      </c>
      <c r="E9" s="8" t="str">
        <f>IF(COUNTIF('Prijava ekipa i izvlačenje br.'!$E9,"B")=1,'Prijava ekipa i izvlačenje br.'!$D9,IF(COUNTIF('Prijava ekipa i izvlačenje br.'!$H9,"B")=1,'Prijava ekipa i izvlačenje br.'!$G9,IF(COUNTIF('Prijava ekipa i izvlačenje br.'!$K9,"B")=1,'Prijava ekipa i izvlačenje br.'!$J9,IF(COUNTIF('Prijava ekipa i izvlačenje br.'!$N9,"B")=1,'Prijava ekipa i izvlačenje br.'!$M9,IF(COUNTIF('Prijava ekipa i izvlačenje br.'!$Q9,"B")=1,'Prijava ekipa i izvlačenje br.'!$P9,"")))))</f>
        <v>Mario Akmačić</v>
      </c>
      <c r="F9" s="422">
        <v>1953</v>
      </c>
      <c r="G9" s="53">
        <f>VLOOKUP(D9,'Upis rezultata A sektora'!$D$2:$M$13,7,0)</f>
        <v>37</v>
      </c>
      <c r="H9" s="53">
        <f t="shared" si="0"/>
        <v>6</v>
      </c>
      <c r="I9" s="53">
        <f t="shared" si="1"/>
        <v>8</v>
      </c>
      <c r="J9" s="422"/>
      <c r="K9" s="460"/>
      <c r="L9" s="458"/>
      <c r="M9" s="458"/>
      <c r="N9" s="458"/>
      <c r="O9" s="458"/>
      <c r="P9" s="458"/>
      <c r="Q9" s="458"/>
      <c r="R9" s="458"/>
      <c r="S9" s="458"/>
      <c r="T9" s="458"/>
      <c r="U9" s="458"/>
      <c r="V9" s="458"/>
    </row>
    <row r="10" spans="1:22" ht="12.75">
      <c r="A10" s="49"/>
      <c r="B10" s="54">
        <f>IF(AND(ISTEXT('Prijava ekipa i izvlačenje br.'!C10)=TRUE,ISNUMBER(F10)=FALSE,COUNTIF('Prijava ekipa i izvlačenje br.'!E10:'Prijava ekipa i izvlačenje br.'!Q10,"B")=0),COUNTA(D$2:D$13)-COUNTIF(D$2:D$13,"")+1,IF(AND(ISNUMBER(F10)=TRUE,ISNUMBER(J10)=TRUE),((COUNT(F$2:F$13)+1-RANK(F10,$F$2:$F$13,0)-RANK(F10,$F$2:$F$13,1))/2)+RANK(F10,$F$2:$F$13,0)+1,IF(ISNUMBER(F10)=TRUE,((COUNT(F$2:F$13)+1-RANK(F10,$F$2:$F$13,0)-RANK(F10,$F$2:$F$13,1))/2)+RANK(F10,$F$2:$F$13,0),"")))</f>
        <v>10.5</v>
      </c>
      <c r="C10" s="55">
        <f>IF(AND(ISNUMBER('Prijava ekipa i izvlačenje br.'!A10)=TRUE,COUNTIF(E10,"")=0),'Prijava ekipa i izvlačenje br.'!A10,IF(AND(ISNUMBER('Prijava ekipa i izvlačenje br.'!F10)=TRUE,COUNTIF('Prijava ekipa i izvlačenje br.'!$E10,"B")=1),'Prijava ekipa i izvlačenje br.'!F10,IF(AND(ISNUMBER('Prijava ekipa i izvlačenje br.'!I10)=TRUE,COUNTIF('Prijava ekipa i izvlačenje br.'!$H10,"B")=1),'Prijava ekipa i izvlačenje br.'!I10,IF(AND(ISNUMBER('Prijava ekipa i izvlačenje br.'!L10)=TRUE,COUNTIF('Prijava ekipa i izvlačenje br.'!$K10,"B")=1),'Prijava ekipa i izvlačenje br.'!L10,IF(AND(ISNUMBER('Prijava ekipa i izvlačenje br.'!O10)=TRUE,COUNTIF('Prijava ekipa i izvlačenje br.'!$N10,"B")=1),'Prijava ekipa i izvlačenje br.'!O10,IF(AND(ISNUMBER('Prijava ekipa i izvlačenje br.'!R10)=TRUE,COUNTIF('Prijava ekipa i izvlačenje br.'!$Q10,"B")=1),'Prijava ekipa i izvlačenje br.'!R10,""))))))</f>
        <v>9</v>
      </c>
      <c r="D10" s="430" t="str">
        <f>IF(ISBLANK('Prijava ekipa i izvlačenje br.'!C10)=TRUE,"",'Prijava ekipa i izvlačenje br.'!C10)</f>
        <v>Bjelka GME Sunja</v>
      </c>
      <c r="E10" s="8" t="str">
        <f>IF(COUNTIF('Prijava ekipa i izvlačenje br.'!$E10,"B")=1,'Prijava ekipa i izvlačenje br.'!$D10,IF(COUNTIF('Prijava ekipa i izvlačenje br.'!$H10,"B")=1,'Prijava ekipa i izvlačenje br.'!$G10,IF(COUNTIF('Prijava ekipa i izvlačenje br.'!$K10,"B")=1,'Prijava ekipa i izvlačenje br.'!$J10,IF(COUNTIF('Prijava ekipa i izvlačenje br.'!$N10,"B")=1,'Prijava ekipa i izvlačenje br.'!$M10,IF(COUNTIF('Prijava ekipa i izvlačenje br.'!$Q10,"B")=1,'Prijava ekipa i izvlačenje br.'!$P10,"")))))</f>
        <v>Smail Habibović</v>
      </c>
      <c r="F10" s="422">
        <v>1119</v>
      </c>
      <c r="G10" s="53">
        <f>VLOOKUP(D10,'Upis rezultata A sektora'!$D$2:$M$13,7,0)</f>
        <v>42</v>
      </c>
      <c r="H10" s="53">
        <f t="shared" si="0"/>
        <v>10.5</v>
      </c>
      <c r="I10" s="53">
        <f t="shared" si="1"/>
        <v>9</v>
      </c>
      <c r="J10" s="422"/>
      <c r="K10" s="460"/>
      <c r="L10" s="458"/>
      <c r="M10" s="458"/>
      <c r="N10" s="458"/>
      <c r="O10" s="458"/>
      <c r="P10" s="458"/>
      <c r="Q10" s="458"/>
      <c r="R10" s="458"/>
      <c r="S10" s="458"/>
      <c r="T10" s="458"/>
      <c r="U10" s="458"/>
      <c r="V10" s="458"/>
    </row>
    <row r="11" spans="1:22" ht="12.75">
      <c r="A11" s="49"/>
      <c r="B11" s="54">
        <f>IF(AND(ISTEXT('Prijava ekipa i izvlačenje br.'!C11)=TRUE,ISNUMBER(F11)=FALSE,COUNTIF('Prijava ekipa i izvlačenje br.'!E11:'Prijava ekipa i izvlačenje br.'!Q11,"B")=0),COUNTA(D$2:D$13)-COUNTIF(D$2:D$13,"")+1,IF(AND(ISNUMBER(F11)=TRUE,ISNUMBER(J11)=TRUE),((COUNT(F$2:F$13)+1-RANK(F11,$F$2:$F$13,0)-RANK(F11,$F$2:$F$13,1))/2)+RANK(F11,$F$2:$F$13,0)+1,IF(ISNUMBER(F11)=TRUE,((COUNT(F$2:F$13)+1-RANK(F11,$F$2:$F$13,0)-RANK(F11,$F$2:$F$13,1))/2)+RANK(F11,$F$2:$F$13,0),"")))</f>
        <v>8.5</v>
      </c>
      <c r="C11" s="55">
        <f>IF(AND(ISNUMBER('Prijava ekipa i izvlačenje br.'!A11)=TRUE,COUNTIF(E11,"")=0),'Prijava ekipa i izvlačenje br.'!A11,IF(AND(ISNUMBER('Prijava ekipa i izvlačenje br.'!F11)=TRUE,COUNTIF('Prijava ekipa i izvlačenje br.'!$E11,"B")=1),'Prijava ekipa i izvlačenje br.'!F11,IF(AND(ISNUMBER('Prijava ekipa i izvlačenje br.'!I11)=TRUE,COUNTIF('Prijava ekipa i izvlačenje br.'!$H11,"B")=1),'Prijava ekipa i izvlačenje br.'!I11,IF(AND(ISNUMBER('Prijava ekipa i izvlačenje br.'!L11)=TRUE,COUNTIF('Prijava ekipa i izvlačenje br.'!$K11,"B")=1),'Prijava ekipa i izvlačenje br.'!L11,IF(AND(ISNUMBER('Prijava ekipa i izvlačenje br.'!O11)=TRUE,COUNTIF('Prijava ekipa i izvlačenje br.'!$N11,"B")=1),'Prijava ekipa i izvlačenje br.'!O11,IF(AND(ISNUMBER('Prijava ekipa i izvlačenje br.'!R11)=TRUE,COUNTIF('Prijava ekipa i izvlačenje br.'!$Q11,"B")=1),'Prijava ekipa i izvlačenje br.'!R11,""))))))</f>
        <v>10</v>
      </c>
      <c r="D11" s="430" t="str">
        <f>IF(ISBLANK('Prijava ekipa i izvlačenje br.'!C11)=TRUE,"",'Prijava ekipa i izvlačenje br.'!C11)</f>
        <v>TPK Zagreb</v>
      </c>
      <c r="E11" s="8" t="str">
        <f>IF(COUNTIF('Prijava ekipa i izvlačenje br.'!$E11,"B")=1,'Prijava ekipa i izvlačenje br.'!$D11,IF(COUNTIF('Prijava ekipa i izvlačenje br.'!$H11,"B")=1,'Prijava ekipa i izvlačenje br.'!$G11,IF(COUNTIF('Prijava ekipa i izvlačenje br.'!$K11,"B")=1,'Prijava ekipa i izvlačenje br.'!$J11,IF(COUNTIF('Prijava ekipa i izvlačenje br.'!$N11,"B")=1,'Prijava ekipa i izvlačenje br.'!$M11,IF(COUNTIF('Prijava ekipa i izvlačenje br.'!$Q11,"B")=1,'Prijava ekipa i izvlačenje br.'!$P11,"")))))</f>
        <v>Anđelo Orač</v>
      </c>
      <c r="F11" s="422">
        <v>1765</v>
      </c>
      <c r="G11" s="53">
        <f>VLOOKUP(D11,'Upis rezultata A sektora'!$D$2:$M$13,7,0)</f>
        <v>47</v>
      </c>
      <c r="H11" s="53">
        <f t="shared" si="0"/>
        <v>8.5</v>
      </c>
      <c r="I11" s="53">
        <f t="shared" si="1"/>
        <v>10</v>
      </c>
      <c r="J11" s="422"/>
      <c r="K11" s="460"/>
      <c r="L11" s="458"/>
      <c r="M11" s="458"/>
      <c r="N11" s="458"/>
      <c r="O11" s="458"/>
      <c r="P11" s="458"/>
      <c r="Q11" s="458"/>
      <c r="R11" s="458"/>
      <c r="S11" s="458"/>
      <c r="T11" s="458"/>
      <c r="U11" s="458"/>
      <c r="V11" s="458"/>
    </row>
    <row r="12" spans="1:22" ht="12.75">
      <c r="A12" s="49"/>
      <c r="B12" s="54">
        <f>IF(AND(ISTEXT('Prijava ekipa i izvlačenje br.'!C12)=TRUE,ISNUMBER(F12)=FALSE,COUNTIF('Prijava ekipa i izvlačenje br.'!E12:'Prijava ekipa i izvlačenje br.'!Q12,"B")=0),COUNTA(D$2:D$13)-COUNTIF(D$2:D$13,"")+1,IF(AND(ISNUMBER(F12)=TRUE,ISNUMBER(J12)=TRUE),((COUNT(F$2:F$13)+1-RANK(F12,$F$2:$F$13,0)-RANK(F12,$F$2:$F$13,1))/2)+RANK(F12,$F$2:$F$13,0)+1,IF(ISNUMBER(F12)=TRUE,((COUNT(F$2:F$13)+1-RANK(F12,$F$2:$F$13,0)-RANK(F12,$F$2:$F$13,1))/2)+RANK(F12,$F$2:$F$13,0),"")))</f>
        <v>8.5</v>
      </c>
      <c r="C12" s="55">
        <f>IF(AND(ISNUMBER('Prijava ekipa i izvlačenje br.'!A12)=TRUE,COUNTIF(E12,"")=0),'Prijava ekipa i izvlačenje br.'!A12,IF(AND(ISNUMBER('Prijava ekipa i izvlačenje br.'!F12)=TRUE,COUNTIF('Prijava ekipa i izvlačenje br.'!$E12,"B")=1),'Prijava ekipa i izvlačenje br.'!F12,IF(AND(ISNUMBER('Prijava ekipa i izvlačenje br.'!I12)=TRUE,COUNTIF('Prijava ekipa i izvlačenje br.'!$H12,"B")=1),'Prijava ekipa i izvlačenje br.'!I12,IF(AND(ISNUMBER('Prijava ekipa i izvlačenje br.'!L12)=TRUE,COUNTIF('Prijava ekipa i izvlačenje br.'!$K12,"B")=1),'Prijava ekipa i izvlačenje br.'!L12,IF(AND(ISNUMBER('Prijava ekipa i izvlačenje br.'!O12)=TRUE,COUNTIF('Prijava ekipa i izvlačenje br.'!$N12,"B")=1),'Prijava ekipa i izvlačenje br.'!O12,IF(AND(ISNUMBER('Prijava ekipa i izvlačenje br.'!R12)=TRUE,COUNTIF('Prijava ekipa i izvlačenje br.'!$Q12,"B")=1),'Prijava ekipa i izvlačenje br.'!R12,""))))))</f>
        <v>11</v>
      </c>
      <c r="D12" s="430" t="str">
        <f>IF(ISBLANK('Prijava ekipa i izvlačenje br.'!C12)=TRUE,"",'Prijava ekipa i izvlačenje br.'!C12)</f>
        <v>Ilova Garešnica</v>
      </c>
      <c r="E12" s="8" t="str">
        <f>IF(COUNTIF('Prijava ekipa i izvlačenje br.'!$E12,"B")=1,'Prijava ekipa i izvlačenje br.'!$D12,IF(COUNTIF('Prijava ekipa i izvlačenje br.'!$H12,"B")=1,'Prijava ekipa i izvlačenje br.'!$G12,IF(COUNTIF('Prijava ekipa i izvlačenje br.'!$K12,"B")=1,'Prijava ekipa i izvlačenje br.'!$J12,IF(COUNTIF('Prijava ekipa i izvlačenje br.'!$N12,"B")=1,'Prijava ekipa i izvlačenje br.'!$M12,IF(COUNTIF('Prijava ekipa i izvlačenje br.'!$Q12,"B")=1,'Prijava ekipa i izvlačenje br.'!$P12,"")))))</f>
        <v>Tomislav Duković</v>
      </c>
      <c r="F12" s="422">
        <v>1765</v>
      </c>
      <c r="G12" s="53">
        <f>VLOOKUP(D12,'Upis rezultata A sektora'!$D$2:$M$13,7,0)</f>
        <v>52</v>
      </c>
      <c r="H12" s="53">
        <f t="shared" si="0"/>
        <v>8.5</v>
      </c>
      <c r="I12" s="53">
        <f t="shared" si="1"/>
        <v>11</v>
      </c>
      <c r="J12" s="422"/>
      <c r="K12" s="460"/>
      <c r="L12" s="458"/>
      <c r="M12" s="458"/>
      <c r="N12" s="458"/>
      <c r="O12" s="458"/>
      <c r="P12" s="458"/>
      <c r="Q12" s="458"/>
      <c r="R12" s="458"/>
      <c r="S12" s="458"/>
      <c r="T12" s="458"/>
      <c r="U12" s="458"/>
      <c r="V12" s="458"/>
    </row>
    <row r="13" spans="1:22" ht="13.5" thickBot="1">
      <c r="A13" s="431"/>
      <c r="B13" s="425">
        <f>IF(AND(ISTEXT('Prijava ekipa i izvlačenje br.'!C13)=TRUE,ISNUMBER(F13)=FALSE,COUNTIF('Prijava ekipa i izvlačenje br.'!E13:'Prijava ekipa i izvlačenje br.'!Q13,"B")=0),COUNTA(D$2:D$13)-COUNTIF(D$2:D$13,"")+1,IF(AND(ISNUMBER(F13)=TRUE,ISNUMBER(J13)=TRUE),((COUNT(F$2:F$13)+1-RANK(F13,$F$2:$F$13,0)-RANK(F13,$F$2:$F$13,1))/2)+RANK(F13,$F$2:$F$13,0)+1,IF(ISNUMBER(F13)=TRUE,((COUNT(F$2:F$13)+1-RANK(F13,$F$2:$F$13,0)-RANK(F13,$F$2:$F$13,1))/2)+RANK(F13,$F$2:$F$13,0),"")))</f>
        <v>2</v>
      </c>
      <c r="C13" s="426">
        <f>IF(AND(ISNUMBER('Prijava ekipa i izvlačenje br.'!A13)=TRUE,COUNTIF(E13,"")=0),'Prijava ekipa i izvlačenje br.'!A13,IF(AND(ISNUMBER('Prijava ekipa i izvlačenje br.'!F13)=TRUE,COUNTIF('Prijava ekipa i izvlačenje br.'!$E13,"B")=1),'Prijava ekipa i izvlačenje br.'!F13,IF(AND(ISNUMBER('Prijava ekipa i izvlačenje br.'!I13)=TRUE,COUNTIF('Prijava ekipa i izvlačenje br.'!$H13,"B")=1),'Prijava ekipa i izvlačenje br.'!I13,IF(AND(ISNUMBER('Prijava ekipa i izvlačenje br.'!L13)=TRUE,COUNTIF('Prijava ekipa i izvlačenje br.'!$K13,"B")=1),'Prijava ekipa i izvlačenje br.'!L13,IF(AND(ISNUMBER('Prijava ekipa i izvlačenje br.'!O13)=TRUE,COUNTIF('Prijava ekipa i izvlačenje br.'!$N13,"B")=1),'Prijava ekipa i izvlačenje br.'!O13,IF(AND(ISNUMBER('Prijava ekipa i izvlačenje br.'!R13)=TRUE,COUNTIF('Prijava ekipa i izvlačenje br.'!$Q13,"B")=1),'Prijava ekipa i izvlačenje br.'!R13,""))))))</f>
        <v>12</v>
      </c>
      <c r="D13" s="432" t="str">
        <f>IF(ISBLANK('Prijava ekipa i izvlačenje br.'!C13)=TRUE,"",'Prijava ekipa i izvlačenje br.'!C13)</f>
        <v>Jez Jasenovac</v>
      </c>
      <c r="E13" s="433" t="str">
        <f>IF(COUNTIF('Prijava ekipa i izvlačenje br.'!$E13,"B")=1,'Prijava ekipa i izvlačenje br.'!$D13,IF(COUNTIF('Prijava ekipa i izvlačenje br.'!$H13,"B")=1,'Prijava ekipa i izvlačenje br.'!$G13,IF(COUNTIF('Prijava ekipa i izvlačenje br.'!$K13,"B")=1,'Prijava ekipa i izvlačenje br.'!$J13,IF(COUNTIF('Prijava ekipa i izvlačenje br.'!$N13,"B")=1,'Prijava ekipa i izvlačenje br.'!$M13,IF(COUNTIF('Prijava ekipa i izvlačenje br.'!$Q13,"B")=1,'Prijava ekipa i izvlačenje br.'!$P13,"")))))</f>
        <v>Marijan Kumić</v>
      </c>
      <c r="F13" s="428">
        <v>3700</v>
      </c>
      <c r="G13" s="434">
        <f>VLOOKUP(D13,'Upis rezultata A sektora'!$D$2:$M$13,7,0)</f>
        <v>57</v>
      </c>
      <c r="H13" s="434">
        <f t="shared" si="0"/>
        <v>2</v>
      </c>
      <c r="I13" s="434">
        <f t="shared" si="1"/>
        <v>12</v>
      </c>
      <c r="J13" s="428"/>
      <c r="K13" s="460"/>
      <c r="L13" s="458"/>
      <c r="M13" s="458"/>
      <c r="N13" s="458"/>
      <c r="O13" s="458"/>
      <c r="P13" s="458"/>
      <c r="Q13" s="458"/>
      <c r="R13" s="458"/>
      <c r="S13" s="458"/>
      <c r="T13" s="458"/>
      <c r="U13" s="458"/>
      <c r="V13" s="458"/>
    </row>
  </sheetData>
  <sheetProtection password="C7E2" sheet="1" objects="1" scenarios="1"/>
  <printOptions/>
  <pageMargins left="0.7480314960629921" right="0.7480314960629921" top="0.984251968503937" bottom="0.984251968503937" header="0.5118110236220472" footer="0.5118110236220472"/>
  <pageSetup horizontalDpi="300" verticalDpi="300" orientation="portrait" paperSize="9" r:id="rId3"/>
  <headerFooter alignWithMargins="0">
    <oddFooter>&amp;C&amp;"Arial,Kurziv"&amp;8&amp;YProgram za izračun rezultata i provođenje natjecanja</oddFooter>
  </headerFooter>
  <legacyDrawing r:id="rId2"/>
</worksheet>
</file>

<file path=xl/worksheets/sheet12.xml><?xml version="1.0" encoding="utf-8"?>
<worksheet xmlns="http://schemas.openxmlformats.org/spreadsheetml/2006/main" xmlns:r="http://schemas.openxmlformats.org/officeDocument/2006/relationships">
  <sheetPr codeName="Sheet10">
    <tabColor indexed="10"/>
  </sheetPr>
  <dimension ref="A1:M13"/>
  <sheetViews>
    <sheetView showRowColHeaders="0" zoomScalePageLayoutView="0" workbookViewId="0" topLeftCell="A1">
      <selection activeCell="F14" sqref="F14"/>
    </sheetView>
  </sheetViews>
  <sheetFormatPr defaultColWidth="9.140625" defaultRowHeight="12.75"/>
  <cols>
    <col min="1" max="1" width="9.140625" style="444" customWidth="1"/>
    <col min="2" max="2" width="9.140625" style="452" customWidth="1"/>
    <col min="3" max="3" width="9.140625" style="459" customWidth="1"/>
    <col min="4" max="4" width="20.140625" style="459" customWidth="1"/>
    <col min="5" max="5" width="18.57421875" style="444" customWidth="1"/>
    <col min="6" max="6" width="9.140625" style="444" customWidth="1"/>
    <col min="7" max="9" width="0" style="459" hidden="1" customWidth="1"/>
    <col min="10" max="16384" width="9.140625" style="444" customWidth="1"/>
  </cols>
  <sheetData>
    <row r="1" spans="1:13" ht="255">
      <c r="A1" s="196"/>
      <c r="B1" s="146" t="s">
        <v>82</v>
      </c>
      <c r="C1" s="146" t="s">
        <v>23</v>
      </c>
      <c r="D1" s="140" t="s">
        <v>21</v>
      </c>
      <c r="E1" s="140" t="s">
        <v>83</v>
      </c>
      <c r="F1" s="195" t="s">
        <v>84</v>
      </c>
      <c r="G1" s="419" t="s">
        <v>23</v>
      </c>
      <c r="H1" s="419" t="str">
        <f>B1</f>
        <v>Sektorski plasman</v>
      </c>
      <c r="I1" s="419" t="s">
        <v>210</v>
      </c>
      <c r="J1" s="145" t="s">
        <v>220</v>
      </c>
      <c r="K1" s="456"/>
      <c r="L1" s="449"/>
      <c r="M1" s="449"/>
    </row>
    <row r="2" spans="1:11" ht="12.75">
      <c r="A2" s="49"/>
      <c r="B2" s="54">
        <f>IF(AND(ISTEXT('Prijava ekipa i izvlačenje br.'!C2)=TRUE,ISNUMBER(F2)=FALSE,COUNTIF('Prijava ekipa i izvlačenje br.'!E2:'Prijava ekipa i izvlačenje br.'!Q2,"C")=0),COUNTA(D$2:D$13)-COUNTIF(D$2:D$13,"")+1,IF(AND(ISNUMBER(F2)=TRUE,ISNUMBER(J2)=TRUE),((COUNT(F$2:F$13)+1-RANK(F2,$F$2:$F$13,0)-RANK(F2,$F$2:$F$13,1))/2)+RANK(F2,$F$2:$F$13,0)+1,IF(ISNUMBER(F2)=TRUE,((COUNT(F$2:F$13)+1-RANK(F2,$F$2:$F$13,0)-RANK(F2,$F$2:$F$13,1))/2)+RANK(F2,$F$2:$F$13,0),"")))</f>
        <v>1</v>
      </c>
      <c r="C2" s="55">
        <f>IF(AND(ISNUMBER('Prijava ekipa i izvlačenje br.'!A2)=TRUE,COUNTIF(E2,"")=0),'Prijava ekipa i izvlačenje br.'!A2,IF(AND(ISNUMBER('Prijava ekipa i izvlačenje br.'!F2)=TRUE,COUNTIF('Prijava ekipa i izvlačenje br.'!$E2,"C")=1),'Prijava ekipa i izvlačenje br.'!F2,IF(AND(ISNUMBER('Prijava ekipa i izvlačenje br.'!I2)=TRUE,COUNTIF('Prijava ekipa i izvlačenje br.'!$H2,"C")=1),'Prijava ekipa i izvlačenje br.'!I2,IF(AND(ISNUMBER('Prijava ekipa i izvlačenje br.'!L2)=TRUE,COUNTIF('Prijava ekipa i izvlačenje br.'!$K2,"C")=1),'Prijava ekipa i izvlačenje br.'!L2,IF(AND(ISNUMBER('Prijava ekipa i izvlačenje br.'!O2)=TRUE,COUNTIF('Prijava ekipa i izvlačenje br.'!$N2,"C")=1),'Prijava ekipa i izvlačenje br.'!O2,IF(AND(ISNUMBER('Prijava ekipa i izvlačenje br.'!R2)=TRUE,COUNTIF('Prijava ekipa i izvlačenje br.'!$Q2,"C")=1),'Prijava ekipa i izvlačenje br.'!R2,""))))))</f>
        <v>1</v>
      </c>
      <c r="D2" s="8" t="str">
        <f>IF(ISBLANK('Prijava ekipa i izvlačenje br.'!C2)=TRUE,"",'Prijava ekipa i izvlačenje br.'!C2)</f>
        <v>Korana Karlovac</v>
      </c>
      <c r="E2" s="8" t="str">
        <f>IF(COUNTIF('Prijava ekipa i izvlačenje br.'!$E2,"C")=1,'Prijava ekipa i izvlačenje br.'!$D2,IF(COUNTIF('Prijava ekipa i izvlačenje br.'!$H2,"C")=1,'Prijava ekipa i izvlačenje br.'!$G2,IF(COUNTIF('Prijava ekipa i izvlačenje br.'!$K2,"C")=1,'Prijava ekipa i izvlačenje br.'!$J2,IF(COUNTIF('Prijava ekipa i izvlačenje br.'!$N2,"C")=1,'Prijava ekipa i izvlačenje br.'!$M2,IF(COUNTIF('Prijava ekipa i izvlačenje br.'!$Q2,"C")=1,'Prijava ekipa i izvlačenje br.'!$P2,"")))))</f>
        <v>Hrvoje Kovač</v>
      </c>
      <c r="F2" s="422">
        <v>5000</v>
      </c>
      <c r="G2" s="53">
        <f>VLOOKUP(D2,'Upis rezultata A sektora'!$D$2:$M$13,8,0)</f>
        <v>3</v>
      </c>
      <c r="H2" s="53">
        <f>B2</f>
        <v>1</v>
      </c>
      <c r="I2" s="53">
        <f>C2</f>
        <v>1</v>
      </c>
      <c r="J2" s="422"/>
      <c r="K2" s="460"/>
    </row>
    <row r="3" spans="1:11" ht="12.75">
      <c r="A3" s="49"/>
      <c r="B3" s="54">
        <f>IF(AND(ISTEXT('Prijava ekipa i izvlačenje br.'!C3)=TRUE,ISNUMBER(F3)=FALSE,COUNTIF('Prijava ekipa i izvlačenje br.'!E3:'Prijava ekipa i izvlačenje br.'!Q3,"C")=0),COUNTA(D$2:D$13)-COUNTIF(D$2:D$13,"")+1,IF(AND(ISNUMBER(F3)=TRUE,ISNUMBER(J3)=TRUE),((COUNT(F$2:F$13)+1-RANK(F3,$F$2:$F$13,0)-RANK(F3,$F$2:$F$13,1))/2)+RANK(F3,$F$2:$F$13,0)+1,IF(ISNUMBER(F3)=TRUE,((COUNT(F$2:F$13)+1-RANK(F3,$F$2:$F$13,0)-RANK(F3,$F$2:$F$13,1))/2)+RANK(F3,$F$2:$F$13,0),"")))</f>
        <v>8</v>
      </c>
      <c r="C3" s="55">
        <f>IF(AND(ISNUMBER('Prijava ekipa i izvlačenje br.'!A3)=TRUE,COUNTIF(E3,"")=0),'Prijava ekipa i izvlačenje br.'!A3,IF(AND(ISNUMBER('Prijava ekipa i izvlačenje br.'!F3)=TRUE,COUNTIF('Prijava ekipa i izvlačenje br.'!$E3,"C")=1),'Prijava ekipa i izvlačenje br.'!F3,IF(AND(ISNUMBER('Prijava ekipa i izvlačenje br.'!I3)=TRUE,COUNTIF('Prijava ekipa i izvlačenje br.'!$H3,"C")=1),'Prijava ekipa i izvlačenje br.'!I3,IF(AND(ISNUMBER('Prijava ekipa i izvlačenje br.'!L3)=TRUE,COUNTIF('Prijava ekipa i izvlačenje br.'!$K3,"C")=1),'Prijava ekipa i izvlačenje br.'!L3,IF(AND(ISNUMBER('Prijava ekipa i izvlačenje br.'!O3)=TRUE,COUNTIF('Prijava ekipa i izvlačenje br.'!$N3,"C")=1),'Prijava ekipa i izvlačenje br.'!O3,IF(AND(ISNUMBER('Prijava ekipa i izvlačenje br.'!R3)=TRUE,COUNTIF('Prijava ekipa i izvlačenje br.'!$Q3,"C")=1),'Prijava ekipa i izvlačenje br.'!R3,""))))))</f>
        <v>2</v>
      </c>
      <c r="D3" s="8" t="str">
        <f>IF(ISBLANK('Prijava ekipa i izvlačenje br.'!C3)=TRUE,"",'Prijava ekipa i izvlačenje br.'!C3)</f>
        <v>Štuka Torčec</v>
      </c>
      <c r="E3" s="8" t="str">
        <f>IF(COUNTIF('Prijava ekipa i izvlačenje br.'!$E3,"C")=1,'Prijava ekipa i izvlačenje br.'!$D3,IF(COUNTIF('Prijava ekipa i izvlačenje br.'!$H3,"C")=1,'Prijava ekipa i izvlačenje br.'!$G3,IF(COUNTIF('Prijava ekipa i izvlačenje br.'!$K3,"C")=1,'Prijava ekipa i izvlačenje br.'!$J3,IF(COUNTIF('Prijava ekipa i izvlačenje br.'!$N3,"C")=1,'Prijava ekipa i izvlačenje br.'!$M3,IF(COUNTIF('Prijava ekipa i izvlačenje br.'!$Q3,"C")=1,'Prijava ekipa i izvlačenje br.'!$P3,"")))))</f>
        <v>Danijel Picer</v>
      </c>
      <c r="F3" s="422">
        <v>1354</v>
      </c>
      <c r="G3" s="53">
        <f>VLOOKUP(D3,'Upis rezultata A sektora'!$D$2:$M$13,8,0)</f>
        <v>8</v>
      </c>
      <c r="H3" s="53">
        <f aca="true" t="shared" si="0" ref="H3:H13">B3</f>
        <v>8</v>
      </c>
      <c r="I3" s="53">
        <f aca="true" t="shared" si="1" ref="I3:I13">C3</f>
        <v>2</v>
      </c>
      <c r="J3" s="422"/>
      <c r="K3" s="460"/>
    </row>
    <row r="4" spans="1:11" ht="12.75">
      <c r="A4" s="49"/>
      <c r="B4" s="54">
        <f>IF(AND(ISTEXT('Prijava ekipa i izvlačenje br.'!C4)=TRUE,ISNUMBER(F4)=FALSE,COUNTIF('Prijava ekipa i izvlačenje br.'!E4:'Prijava ekipa i izvlačenje br.'!Q4,"C")=0),COUNTA(D$2:D$13)-COUNTIF(D$2:D$13,"")+1,IF(AND(ISNUMBER(F4)=TRUE,ISNUMBER(J4)=TRUE),((COUNT(F$2:F$13)+1-RANK(F4,$F$2:$F$13,0)-RANK(F4,$F$2:$F$13,1))/2)+RANK(F4,$F$2:$F$13,0)+1,IF(ISNUMBER(F4)=TRUE,((COUNT(F$2:F$13)+1-RANK(F4,$F$2:$F$13,0)-RANK(F4,$F$2:$F$13,1))/2)+RANK(F4,$F$2:$F$13,0),"")))</f>
        <v>2</v>
      </c>
      <c r="C4" s="55">
        <f>IF(AND(ISNUMBER('Prijava ekipa i izvlačenje br.'!A4)=TRUE,COUNTIF(E4,"")=0),'Prijava ekipa i izvlačenje br.'!A4,IF(AND(ISNUMBER('Prijava ekipa i izvlačenje br.'!F4)=TRUE,COUNTIF('Prijava ekipa i izvlačenje br.'!$E4,"C")=1),'Prijava ekipa i izvlačenje br.'!F4,IF(AND(ISNUMBER('Prijava ekipa i izvlačenje br.'!I4)=TRUE,COUNTIF('Prijava ekipa i izvlačenje br.'!$H4,"C")=1),'Prijava ekipa i izvlačenje br.'!I4,IF(AND(ISNUMBER('Prijava ekipa i izvlačenje br.'!L4)=TRUE,COUNTIF('Prijava ekipa i izvlačenje br.'!$K4,"C")=1),'Prijava ekipa i izvlačenje br.'!L4,IF(AND(ISNUMBER('Prijava ekipa i izvlačenje br.'!O4)=TRUE,COUNTIF('Prijava ekipa i izvlačenje br.'!$N4,"C")=1),'Prijava ekipa i izvlačenje br.'!O4,IF(AND(ISNUMBER('Prijava ekipa i izvlačenje br.'!R4)=TRUE,COUNTIF('Prijava ekipa i izvlačenje br.'!$Q4,"C")=1),'Prijava ekipa i izvlačenje br.'!R4,""))))))</f>
        <v>3</v>
      </c>
      <c r="D4" s="8" t="str">
        <f>IF(ISBLANK('Prijava ekipa i izvlačenje br.'!C4)=TRUE,"",'Prijava ekipa i izvlačenje br.'!C4)</f>
        <v>Rak Rakitje</v>
      </c>
      <c r="E4" s="8" t="str">
        <f>IF(COUNTIF('Prijava ekipa i izvlačenje br.'!$E4,"C")=1,'Prijava ekipa i izvlačenje br.'!$D4,IF(COUNTIF('Prijava ekipa i izvlačenje br.'!$H4,"C")=1,'Prijava ekipa i izvlačenje br.'!$G4,IF(COUNTIF('Prijava ekipa i izvlačenje br.'!$K4,"C")=1,'Prijava ekipa i izvlačenje br.'!$J4,IF(COUNTIF('Prijava ekipa i izvlačenje br.'!$N4,"C")=1,'Prijava ekipa i izvlačenje br.'!$M4,IF(COUNTIF('Prijava ekipa i izvlačenje br.'!$Q4,"C")=1,'Prijava ekipa i izvlačenje br.'!$P4,"")))))</f>
        <v>Stjepan Gorički</v>
      </c>
      <c r="F4" s="422">
        <v>4740</v>
      </c>
      <c r="G4" s="53">
        <f>VLOOKUP(D4,'Upis rezultata A sektora'!$D$2:$M$13,8,0)</f>
        <v>13</v>
      </c>
      <c r="H4" s="53">
        <f t="shared" si="0"/>
        <v>2</v>
      </c>
      <c r="I4" s="53">
        <f t="shared" si="1"/>
        <v>3</v>
      </c>
      <c r="J4" s="422"/>
      <c r="K4" s="460"/>
    </row>
    <row r="5" spans="1:11" ht="12.75">
      <c r="A5" s="49"/>
      <c r="B5" s="54">
        <f>IF(AND(ISTEXT('Prijava ekipa i izvlačenje br.'!C5)=TRUE,ISNUMBER(F5)=FALSE,COUNTIF('Prijava ekipa i izvlačenje br.'!E5:'Prijava ekipa i izvlačenje br.'!Q5,"C")=0),COUNTA(D$2:D$13)-COUNTIF(D$2:D$13,"")+1,IF(AND(ISNUMBER(F5)=TRUE,ISNUMBER(J5)=TRUE),((COUNT(F$2:F$13)+1-RANK(F5,$F$2:$F$13,0)-RANK(F5,$F$2:$F$13,1))/2)+RANK(F5,$F$2:$F$13,0)+1,IF(ISNUMBER(F5)=TRUE,((COUNT(F$2:F$13)+1-RANK(F5,$F$2:$F$13,0)-RANK(F5,$F$2:$F$13,1))/2)+RANK(F5,$F$2:$F$13,0),"")))</f>
        <v>11</v>
      </c>
      <c r="C5" s="55">
        <f>IF(AND(ISNUMBER('Prijava ekipa i izvlačenje br.'!A5)=TRUE,COUNTIF(E5,"")=0),'Prijava ekipa i izvlačenje br.'!A5,IF(AND(ISNUMBER('Prijava ekipa i izvlačenje br.'!F5)=TRUE,COUNTIF('Prijava ekipa i izvlačenje br.'!$E5,"C")=1),'Prijava ekipa i izvlačenje br.'!F5,IF(AND(ISNUMBER('Prijava ekipa i izvlačenje br.'!I5)=TRUE,COUNTIF('Prijava ekipa i izvlačenje br.'!$H5,"C")=1),'Prijava ekipa i izvlačenje br.'!I5,IF(AND(ISNUMBER('Prijava ekipa i izvlačenje br.'!L5)=TRUE,COUNTIF('Prijava ekipa i izvlačenje br.'!$K5,"C")=1),'Prijava ekipa i izvlačenje br.'!L5,IF(AND(ISNUMBER('Prijava ekipa i izvlačenje br.'!O5)=TRUE,COUNTIF('Prijava ekipa i izvlačenje br.'!$N5,"C")=1),'Prijava ekipa i izvlačenje br.'!O5,IF(AND(ISNUMBER('Prijava ekipa i izvlačenje br.'!R5)=TRUE,COUNTIF('Prijava ekipa i izvlačenje br.'!$Q5,"C")=1),'Prijava ekipa i izvlačenje br.'!R5,""))))))</f>
        <v>4</v>
      </c>
      <c r="D5" s="8" t="str">
        <f>IF(ISBLANK('Prijava ekipa i izvlačenje br.'!C5)=TRUE,"",'Prijava ekipa i izvlačenje br.'!C5)</f>
        <v>Bjelovar Bjelovar</v>
      </c>
      <c r="E5" s="8" t="str">
        <f>IF(COUNTIF('Prijava ekipa i izvlačenje br.'!$E5,"C")=1,'Prijava ekipa i izvlačenje br.'!$D5,IF(COUNTIF('Prijava ekipa i izvlačenje br.'!$H5,"C")=1,'Prijava ekipa i izvlačenje br.'!$G5,IF(COUNTIF('Prijava ekipa i izvlačenje br.'!$K5,"C")=1,'Prijava ekipa i izvlačenje br.'!$J5,IF(COUNTIF('Prijava ekipa i izvlačenje br.'!$N5,"C")=1,'Prijava ekipa i izvlačenje br.'!$M5,IF(COUNTIF('Prijava ekipa i izvlačenje br.'!$Q5,"C")=1,'Prijava ekipa i izvlačenje br.'!$P5,"")))))</f>
        <v>Ivo Begović</v>
      </c>
      <c r="F5" s="422">
        <v>670</v>
      </c>
      <c r="G5" s="53">
        <f>VLOOKUP(D5,'Upis rezultata A sektora'!$D$2:$M$13,8,0)</f>
        <v>18</v>
      </c>
      <c r="H5" s="53">
        <f t="shared" si="0"/>
        <v>11</v>
      </c>
      <c r="I5" s="53">
        <f t="shared" si="1"/>
        <v>4</v>
      </c>
      <c r="J5" s="422"/>
      <c r="K5" s="460"/>
    </row>
    <row r="6" spans="1:11" ht="12.75">
      <c r="A6" s="49"/>
      <c r="B6" s="54">
        <f>IF(AND(ISTEXT('Prijava ekipa i izvlačenje br.'!C6)=TRUE,ISNUMBER(F6)=FALSE,COUNTIF('Prijava ekipa i izvlačenje br.'!E6:'Prijava ekipa i izvlačenje br.'!Q6,"C")=0),COUNTA(D$2:D$13)-COUNTIF(D$2:D$13,"")+1,IF(AND(ISNUMBER(F6)=TRUE,ISNUMBER(J6)=TRUE),((COUNT(F$2:F$13)+1-RANK(F6,$F$2:$F$13,0)-RANK(F6,$F$2:$F$13,1))/2)+RANK(F6,$F$2:$F$13,0)+1,IF(ISNUMBER(F6)=TRUE,((COUNT(F$2:F$13)+1-RANK(F6,$F$2:$F$13,0)-RANK(F6,$F$2:$F$13,1))/2)+RANK(F6,$F$2:$F$13,0),"")))</f>
        <v>10</v>
      </c>
      <c r="C6" s="55">
        <f>IF(AND(ISNUMBER('Prijava ekipa i izvlačenje br.'!A6)=TRUE,COUNTIF(E6,"")=0),'Prijava ekipa i izvlačenje br.'!A6,IF(AND(ISNUMBER('Prijava ekipa i izvlačenje br.'!F6)=TRUE,COUNTIF('Prijava ekipa i izvlačenje br.'!$E6,"C")=1),'Prijava ekipa i izvlačenje br.'!F6,IF(AND(ISNUMBER('Prijava ekipa i izvlačenje br.'!I6)=TRUE,COUNTIF('Prijava ekipa i izvlačenje br.'!$H6,"C")=1),'Prijava ekipa i izvlačenje br.'!I6,IF(AND(ISNUMBER('Prijava ekipa i izvlačenje br.'!L6)=TRUE,COUNTIF('Prijava ekipa i izvlačenje br.'!$K6,"C")=1),'Prijava ekipa i izvlačenje br.'!L6,IF(AND(ISNUMBER('Prijava ekipa i izvlačenje br.'!O6)=TRUE,COUNTIF('Prijava ekipa i izvlačenje br.'!$N6,"C")=1),'Prijava ekipa i izvlačenje br.'!O6,IF(AND(ISNUMBER('Prijava ekipa i izvlačenje br.'!R6)=TRUE,COUNTIF('Prijava ekipa i izvlačenje br.'!$Q6,"C")=1),'Prijava ekipa i izvlačenje br.'!R6,""))))))</f>
        <v>5</v>
      </c>
      <c r="D6" s="8" t="str">
        <f>IF(ISBLANK('Prijava ekipa i izvlačenje br.'!C6)=TRUE,"",'Prijava ekipa i izvlačenje br.'!C6)</f>
        <v>Varaždin Varaždin</v>
      </c>
      <c r="E6" s="8" t="str">
        <f>IF(COUNTIF('Prijava ekipa i izvlačenje br.'!$E6,"C")=1,'Prijava ekipa i izvlačenje br.'!$D6,IF(COUNTIF('Prijava ekipa i izvlačenje br.'!$H6,"C")=1,'Prijava ekipa i izvlačenje br.'!$G6,IF(COUNTIF('Prijava ekipa i izvlačenje br.'!$K6,"C")=1,'Prijava ekipa i izvlačenje br.'!$J6,IF(COUNTIF('Prijava ekipa i izvlačenje br.'!$N6,"C")=1,'Prijava ekipa i izvlačenje br.'!$M6,IF(COUNTIF('Prijava ekipa i izvlačenje br.'!$Q6,"C")=1,'Prijava ekipa i izvlačenje br.'!$P6,"")))))</f>
        <v>Marijan Lisjak</v>
      </c>
      <c r="F6" s="422">
        <v>930</v>
      </c>
      <c r="G6" s="53">
        <f>VLOOKUP(D6,'Upis rezultata A sektora'!$D$2:$M$13,8,0)</f>
        <v>23</v>
      </c>
      <c r="H6" s="53">
        <f t="shared" si="0"/>
        <v>10</v>
      </c>
      <c r="I6" s="53">
        <f t="shared" si="1"/>
        <v>5</v>
      </c>
      <c r="J6" s="422"/>
      <c r="K6" s="460"/>
    </row>
    <row r="7" spans="1:11" ht="12.75">
      <c r="A7" s="49"/>
      <c r="B7" s="54">
        <f>IF(AND(ISTEXT('Prijava ekipa i izvlačenje br.'!C7)=TRUE,ISNUMBER(F7)=FALSE,COUNTIF('Prijava ekipa i izvlačenje br.'!E7:'Prijava ekipa i izvlačenje br.'!Q7,"C")=0),COUNTA(D$2:D$13)-COUNTIF(D$2:D$13,"")+1,IF(AND(ISNUMBER(F7)=TRUE,ISNUMBER(J7)=TRUE),((COUNT(F$2:F$13)+1-RANK(F7,$F$2:$F$13,0)-RANK(F7,$F$2:$F$13,1))/2)+RANK(F7,$F$2:$F$13,0)+1,IF(ISNUMBER(F7)=TRUE,((COUNT(F$2:F$13)+1-RANK(F7,$F$2:$F$13,0)-RANK(F7,$F$2:$F$13,1))/2)+RANK(F7,$F$2:$F$13,0),"")))</f>
        <v>4</v>
      </c>
      <c r="C7" s="55">
        <f>IF(AND(ISNUMBER('Prijava ekipa i izvlačenje br.'!A7)=TRUE,COUNTIF(E7,"")=0),'Prijava ekipa i izvlačenje br.'!A7,IF(AND(ISNUMBER('Prijava ekipa i izvlačenje br.'!F7)=TRUE,COUNTIF('Prijava ekipa i izvlačenje br.'!$E7,"C")=1),'Prijava ekipa i izvlačenje br.'!F7,IF(AND(ISNUMBER('Prijava ekipa i izvlačenje br.'!I7)=TRUE,COUNTIF('Prijava ekipa i izvlačenje br.'!$H7,"C")=1),'Prijava ekipa i izvlačenje br.'!I7,IF(AND(ISNUMBER('Prijava ekipa i izvlačenje br.'!L7)=TRUE,COUNTIF('Prijava ekipa i izvlačenje br.'!$K7,"C")=1),'Prijava ekipa i izvlačenje br.'!L7,IF(AND(ISNUMBER('Prijava ekipa i izvlačenje br.'!O7)=TRUE,COUNTIF('Prijava ekipa i izvlačenje br.'!$N7,"C")=1),'Prijava ekipa i izvlačenje br.'!O7,IF(AND(ISNUMBER('Prijava ekipa i izvlačenje br.'!R7)=TRUE,COUNTIF('Prijava ekipa i izvlačenje br.'!$Q7,"C")=1),'Prijava ekipa i izvlačenje br.'!R7,""))))))</f>
        <v>6</v>
      </c>
      <c r="D7" s="8" t="str">
        <f>IF(ISBLANK('Prijava ekipa i izvlačenje br.'!C7)=TRUE,"",'Prijava ekipa i izvlačenje br.'!C7)</f>
        <v>Azzuro Varaždin</v>
      </c>
      <c r="E7" s="8" t="str">
        <f>IF(COUNTIF('Prijava ekipa i izvlačenje br.'!$E7,"C")=1,'Prijava ekipa i izvlačenje br.'!$D7,IF(COUNTIF('Prijava ekipa i izvlačenje br.'!$H7,"C")=1,'Prijava ekipa i izvlačenje br.'!$G7,IF(COUNTIF('Prijava ekipa i izvlačenje br.'!$K7,"C")=1,'Prijava ekipa i izvlačenje br.'!$J7,IF(COUNTIF('Prijava ekipa i izvlačenje br.'!$N7,"C")=1,'Prijava ekipa i izvlačenje br.'!$M7,IF(COUNTIF('Prijava ekipa i izvlačenje br.'!$Q7,"C")=1,'Prijava ekipa i izvlačenje br.'!$P7,"")))))</f>
        <v>Ljubo Matulin</v>
      </c>
      <c r="F7" s="422">
        <v>2005</v>
      </c>
      <c r="G7" s="53">
        <f>VLOOKUP(D7,'Upis rezultata A sektora'!$D$2:$M$13,8,0)</f>
        <v>28</v>
      </c>
      <c r="H7" s="53">
        <f t="shared" si="0"/>
        <v>4</v>
      </c>
      <c r="I7" s="53">
        <f t="shared" si="1"/>
        <v>6</v>
      </c>
      <c r="J7" s="422"/>
      <c r="K7" s="460"/>
    </row>
    <row r="8" spans="1:11" ht="12.75">
      <c r="A8" s="49"/>
      <c r="B8" s="54">
        <f>IF(AND(ISTEXT('Prijava ekipa i izvlačenje br.'!C8)=TRUE,ISNUMBER(F8)=FALSE,COUNTIF('Prijava ekipa i izvlačenje br.'!E8:'Prijava ekipa i izvlačenje br.'!Q8,"C")=0),COUNTA(D$2:D$13)-COUNTIF(D$2:D$13,"")+1,IF(AND(ISNUMBER(F8)=TRUE,ISNUMBER(J8)=TRUE),((COUNT(F$2:F$13)+1-RANK(F8,$F$2:$F$13,0)-RANK(F8,$F$2:$F$13,1))/2)+RANK(F8,$F$2:$F$13,0)+1,IF(ISNUMBER(F8)=TRUE,((COUNT(F$2:F$13)+1-RANK(F8,$F$2:$F$13,0)-RANK(F8,$F$2:$F$13,1))/2)+RANK(F8,$F$2:$F$13,0),"")))</f>
        <v>5</v>
      </c>
      <c r="C8" s="55">
        <f>IF(AND(ISNUMBER('Prijava ekipa i izvlačenje br.'!A8)=TRUE,COUNTIF(E8,"")=0),'Prijava ekipa i izvlačenje br.'!A8,IF(AND(ISNUMBER('Prijava ekipa i izvlačenje br.'!F8)=TRUE,COUNTIF('Prijava ekipa i izvlačenje br.'!$E8,"C")=1),'Prijava ekipa i izvlačenje br.'!F8,IF(AND(ISNUMBER('Prijava ekipa i izvlačenje br.'!I8)=TRUE,COUNTIF('Prijava ekipa i izvlačenje br.'!$H8,"C")=1),'Prijava ekipa i izvlačenje br.'!I8,IF(AND(ISNUMBER('Prijava ekipa i izvlačenje br.'!L8)=TRUE,COUNTIF('Prijava ekipa i izvlačenje br.'!$K8,"C")=1),'Prijava ekipa i izvlačenje br.'!L8,IF(AND(ISNUMBER('Prijava ekipa i izvlačenje br.'!O8)=TRUE,COUNTIF('Prijava ekipa i izvlačenje br.'!$N8,"C")=1),'Prijava ekipa i izvlačenje br.'!O8,IF(AND(ISNUMBER('Prijava ekipa i izvlačenje br.'!R8)=TRUE,COUNTIF('Prijava ekipa i izvlačenje br.'!$Q8,"C")=1),'Prijava ekipa i izvlačenje br.'!R8,""))))))</f>
        <v>7</v>
      </c>
      <c r="D8" s="8" t="str">
        <f>IF(ISBLANK('Prijava ekipa i izvlačenje br.'!C8)=TRUE,"",'Prijava ekipa i izvlačenje br.'!C8)</f>
        <v>Trnje-ŠR Zagreb</v>
      </c>
      <c r="E8" s="8" t="str">
        <f>IF(COUNTIF('Prijava ekipa i izvlačenje br.'!$E8,"C")=1,'Prijava ekipa i izvlačenje br.'!$D8,IF(COUNTIF('Prijava ekipa i izvlačenje br.'!$H8,"C")=1,'Prijava ekipa i izvlačenje br.'!$G8,IF(COUNTIF('Prijava ekipa i izvlačenje br.'!$K8,"C")=1,'Prijava ekipa i izvlačenje br.'!$J8,IF(COUNTIF('Prijava ekipa i izvlačenje br.'!$N8,"C")=1,'Prijava ekipa i izvlačenje br.'!$M8,IF(COUNTIF('Prijava ekipa i izvlačenje br.'!$Q8,"C")=1,'Prijava ekipa i izvlačenje br.'!$P8,"")))))</f>
        <v>Ivan Fehir</v>
      </c>
      <c r="F8" s="422">
        <v>1790</v>
      </c>
      <c r="G8" s="53">
        <f>VLOOKUP(D8,'Upis rezultata A sektora'!$D$2:$M$13,8,0)</f>
        <v>33</v>
      </c>
      <c r="H8" s="53">
        <f t="shared" si="0"/>
        <v>5</v>
      </c>
      <c r="I8" s="53">
        <f t="shared" si="1"/>
        <v>7</v>
      </c>
      <c r="J8" s="422"/>
      <c r="K8" s="460"/>
    </row>
    <row r="9" spans="1:11" ht="12.75">
      <c r="A9" s="49"/>
      <c r="B9" s="54">
        <f>IF(AND(ISTEXT('Prijava ekipa i izvlačenje br.'!C9)=TRUE,ISNUMBER(F9)=FALSE,COUNTIF('Prijava ekipa i izvlačenje br.'!E9:'Prijava ekipa i izvlačenje br.'!Q9,"C")=0),COUNTA(D$2:D$13)-COUNTIF(D$2:D$13,"")+1,IF(AND(ISNUMBER(F9)=TRUE,ISNUMBER(J9)=TRUE),((COUNT(F$2:F$13)+1-RANK(F9,$F$2:$F$13,0)-RANK(F9,$F$2:$F$13,1))/2)+RANK(F9,$F$2:$F$13,0)+1,IF(ISNUMBER(F9)=TRUE,((COUNT(F$2:F$13)+1-RANK(F9,$F$2:$F$13,0)-RANK(F9,$F$2:$F$13,1))/2)+RANK(F9,$F$2:$F$13,0),"")))</f>
        <v>9</v>
      </c>
      <c r="C9" s="55">
        <f>IF(AND(ISNUMBER('Prijava ekipa i izvlačenje br.'!A9)=TRUE,COUNTIF(E9,"")=0),'Prijava ekipa i izvlačenje br.'!A9,IF(AND(ISNUMBER('Prijava ekipa i izvlačenje br.'!F9)=TRUE,COUNTIF('Prijava ekipa i izvlačenje br.'!$E9,"C")=1),'Prijava ekipa i izvlačenje br.'!F9,IF(AND(ISNUMBER('Prijava ekipa i izvlačenje br.'!I9)=TRUE,COUNTIF('Prijava ekipa i izvlačenje br.'!$H9,"C")=1),'Prijava ekipa i izvlačenje br.'!I9,IF(AND(ISNUMBER('Prijava ekipa i izvlačenje br.'!L9)=TRUE,COUNTIF('Prijava ekipa i izvlačenje br.'!$K9,"C")=1),'Prijava ekipa i izvlačenje br.'!L9,IF(AND(ISNUMBER('Prijava ekipa i izvlačenje br.'!O9)=TRUE,COUNTIF('Prijava ekipa i izvlačenje br.'!$N9,"C")=1),'Prijava ekipa i izvlačenje br.'!O9,IF(AND(ISNUMBER('Prijava ekipa i izvlačenje br.'!R9)=TRUE,COUNTIF('Prijava ekipa i izvlačenje br.'!$Q9,"C")=1),'Prijava ekipa i izvlačenje br.'!R9,""))))))</f>
        <v>8</v>
      </c>
      <c r="D9" s="8" t="str">
        <f>IF(ISBLANK('Prijava ekipa i izvlačenje br.'!C9)=TRUE,"",'Prijava ekipa i izvlačenje br.'!C9)</f>
        <v>Klen N.Gradiška</v>
      </c>
      <c r="E9" s="8" t="str">
        <f>IF(COUNTIF('Prijava ekipa i izvlačenje br.'!$E9,"C")=1,'Prijava ekipa i izvlačenje br.'!$D9,IF(COUNTIF('Prijava ekipa i izvlačenje br.'!$H9,"C")=1,'Prijava ekipa i izvlačenje br.'!$G9,IF(COUNTIF('Prijava ekipa i izvlačenje br.'!$K9,"C")=1,'Prijava ekipa i izvlačenje br.'!$J9,IF(COUNTIF('Prijava ekipa i izvlačenje br.'!$N9,"C")=1,'Prijava ekipa i izvlačenje br.'!$M9,IF(COUNTIF('Prijava ekipa i izvlačenje br.'!$Q9,"C")=1,'Prijava ekipa i izvlačenje br.'!$P9,"")))))</f>
        <v>Petar Petrović</v>
      </c>
      <c r="F9" s="422">
        <v>1325</v>
      </c>
      <c r="G9" s="53">
        <f>VLOOKUP(D9,'Upis rezultata A sektora'!$D$2:$M$13,8,0)</f>
        <v>38</v>
      </c>
      <c r="H9" s="53">
        <f t="shared" si="0"/>
        <v>9</v>
      </c>
      <c r="I9" s="53">
        <f t="shared" si="1"/>
        <v>8</v>
      </c>
      <c r="J9" s="422"/>
      <c r="K9" s="460"/>
    </row>
    <row r="10" spans="1:11" ht="12.75">
      <c r="A10" s="49"/>
      <c r="B10" s="54">
        <f>IF(AND(ISTEXT('Prijava ekipa i izvlačenje br.'!C10)=TRUE,ISNUMBER(F10)=FALSE,COUNTIF('Prijava ekipa i izvlačenje br.'!E10:'Prijava ekipa i izvlačenje br.'!Q10,"C")=0),COUNTA(D$2:D$13)-COUNTIF(D$2:D$13,"")+1,IF(AND(ISNUMBER(F10)=TRUE,ISNUMBER(J10)=TRUE),((COUNT(F$2:F$13)+1-RANK(F10,$F$2:$F$13,0)-RANK(F10,$F$2:$F$13,1))/2)+RANK(F10,$F$2:$F$13,0)+1,IF(ISNUMBER(F10)=TRUE,((COUNT(F$2:F$13)+1-RANK(F10,$F$2:$F$13,0)-RANK(F10,$F$2:$F$13,1))/2)+RANK(F10,$F$2:$F$13,0),"")))</f>
        <v>12</v>
      </c>
      <c r="C10" s="55">
        <f>IF(AND(ISNUMBER('Prijava ekipa i izvlačenje br.'!A10)=TRUE,COUNTIF(E10,"")=0),'Prijava ekipa i izvlačenje br.'!A10,IF(AND(ISNUMBER('Prijava ekipa i izvlačenje br.'!F10)=TRUE,COUNTIF('Prijava ekipa i izvlačenje br.'!$E10,"C")=1),'Prijava ekipa i izvlačenje br.'!F10,IF(AND(ISNUMBER('Prijava ekipa i izvlačenje br.'!I10)=TRUE,COUNTIF('Prijava ekipa i izvlačenje br.'!$H10,"C")=1),'Prijava ekipa i izvlačenje br.'!I10,IF(AND(ISNUMBER('Prijava ekipa i izvlačenje br.'!L10)=TRUE,COUNTIF('Prijava ekipa i izvlačenje br.'!$K10,"C")=1),'Prijava ekipa i izvlačenje br.'!L10,IF(AND(ISNUMBER('Prijava ekipa i izvlačenje br.'!O10)=TRUE,COUNTIF('Prijava ekipa i izvlačenje br.'!$N10,"C")=1),'Prijava ekipa i izvlačenje br.'!O10,IF(AND(ISNUMBER('Prijava ekipa i izvlačenje br.'!R10)=TRUE,COUNTIF('Prijava ekipa i izvlačenje br.'!$Q10,"C")=1),'Prijava ekipa i izvlačenje br.'!R10,""))))))</f>
        <v>9</v>
      </c>
      <c r="D10" s="8" t="str">
        <f>IF(ISBLANK('Prijava ekipa i izvlačenje br.'!C10)=TRUE,"",'Prijava ekipa i izvlačenje br.'!C10)</f>
        <v>Bjelka GME Sunja</v>
      </c>
      <c r="E10" s="8" t="str">
        <f>IF(COUNTIF('Prijava ekipa i izvlačenje br.'!$E10,"C")=1,'Prijava ekipa i izvlačenje br.'!$D10,IF(COUNTIF('Prijava ekipa i izvlačenje br.'!$H10,"C")=1,'Prijava ekipa i izvlačenje br.'!$G10,IF(COUNTIF('Prijava ekipa i izvlačenje br.'!$K10,"C")=1,'Prijava ekipa i izvlačenje br.'!$J10,IF(COUNTIF('Prijava ekipa i izvlačenje br.'!$N10,"C")=1,'Prijava ekipa i izvlačenje br.'!$M10,IF(COUNTIF('Prijava ekipa i izvlačenje br.'!$Q10,"C")=1,'Prijava ekipa i izvlačenje br.'!$P10,"")))))</f>
        <v>Dejan Vondrak</v>
      </c>
      <c r="F10" s="422">
        <v>608</v>
      </c>
      <c r="G10" s="53">
        <f>VLOOKUP(D10,'Upis rezultata A sektora'!$D$2:$M$13,8,0)</f>
        <v>43</v>
      </c>
      <c r="H10" s="53">
        <f t="shared" si="0"/>
        <v>12</v>
      </c>
      <c r="I10" s="53">
        <f t="shared" si="1"/>
        <v>9</v>
      </c>
      <c r="J10" s="422"/>
      <c r="K10" s="460"/>
    </row>
    <row r="11" spans="1:11" ht="12.75">
      <c r="A11" s="49"/>
      <c r="B11" s="54">
        <f>IF(AND(ISTEXT('Prijava ekipa i izvlačenje br.'!C11)=TRUE,ISNUMBER(F11)=FALSE,COUNTIF('Prijava ekipa i izvlačenje br.'!E11:'Prijava ekipa i izvlačenje br.'!Q11,"C")=0),COUNTA(D$2:D$13)-COUNTIF(D$2:D$13,"")+1,IF(AND(ISNUMBER(F11)=TRUE,ISNUMBER(J11)=TRUE),((COUNT(F$2:F$13)+1-RANK(F11,$F$2:$F$13,0)-RANK(F11,$F$2:$F$13,1))/2)+RANK(F11,$F$2:$F$13,0)+1,IF(ISNUMBER(F11)=TRUE,((COUNT(F$2:F$13)+1-RANK(F11,$F$2:$F$13,0)-RANK(F11,$F$2:$F$13,1))/2)+RANK(F11,$F$2:$F$13,0),"")))</f>
        <v>6.5</v>
      </c>
      <c r="C11" s="55">
        <f>IF(AND(ISNUMBER('Prijava ekipa i izvlačenje br.'!A11)=TRUE,COUNTIF(E11,"")=0),'Prijava ekipa i izvlačenje br.'!A11,IF(AND(ISNUMBER('Prijava ekipa i izvlačenje br.'!F11)=TRUE,COUNTIF('Prijava ekipa i izvlačenje br.'!$E11,"C")=1),'Prijava ekipa i izvlačenje br.'!F11,IF(AND(ISNUMBER('Prijava ekipa i izvlačenje br.'!I11)=TRUE,COUNTIF('Prijava ekipa i izvlačenje br.'!$H11,"C")=1),'Prijava ekipa i izvlačenje br.'!I11,IF(AND(ISNUMBER('Prijava ekipa i izvlačenje br.'!L11)=TRUE,COUNTIF('Prijava ekipa i izvlačenje br.'!$K11,"C")=1),'Prijava ekipa i izvlačenje br.'!L11,IF(AND(ISNUMBER('Prijava ekipa i izvlačenje br.'!O11)=TRUE,COUNTIF('Prijava ekipa i izvlačenje br.'!$N11,"C")=1),'Prijava ekipa i izvlačenje br.'!O11,IF(AND(ISNUMBER('Prijava ekipa i izvlačenje br.'!R11)=TRUE,COUNTIF('Prijava ekipa i izvlačenje br.'!$Q11,"C")=1),'Prijava ekipa i izvlačenje br.'!R11,""))))))</f>
        <v>10</v>
      </c>
      <c r="D11" s="8" t="str">
        <f>IF(ISBLANK('Prijava ekipa i izvlačenje br.'!C11)=TRUE,"",'Prijava ekipa i izvlačenje br.'!C11)</f>
        <v>TPK Zagreb</v>
      </c>
      <c r="E11" s="8" t="str">
        <f>IF(COUNTIF('Prijava ekipa i izvlačenje br.'!$E11,"C")=1,'Prijava ekipa i izvlačenje br.'!$D11,IF(COUNTIF('Prijava ekipa i izvlačenje br.'!$H11,"C")=1,'Prijava ekipa i izvlačenje br.'!$G11,IF(COUNTIF('Prijava ekipa i izvlačenje br.'!$K11,"C")=1,'Prijava ekipa i izvlačenje br.'!$J11,IF(COUNTIF('Prijava ekipa i izvlačenje br.'!$N11,"C")=1,'Prijava ekipa i izvlačenje br.'!$M11,IF(COUNTIF('Prijava ekipa i izvlačenje br.'!$Q11,"C")=1,'Prijava ekipa i izvlačenje br.'!$P11,"")))))</f>
        <v>Zlatko Poparić</v>
      </c>
      <c r="F11" s="422">
        <v>1765</v>
      </c>
      <c r="G11" s="53">
        <f>VLOOKUP(D11,'Upis rezultata A sektora'!$D$2:$M$13,8,0)</f>
        <v>48</v>
      </c>
      <c r="H11" s="53">
        <f t="shared" si="0"/>
        <v>6.5</v>
      </c>
      <c r="I11" s="53">
        <f t="shared" si="1"/>
        <v>10</v>
      </c>
      <c r="J11" s="422"/>
      <c r="K11" s="460"/>
    </row>
    <row r="12" spans="1:11" ht="12.75">
      <c r="A12" s="49"/>
      <c r="B12" s="54">
        <f>IF(AND(ISTEXT('Prijava ekipa i izvlačenje br.'!C12)=TRUE,ISNUMBER(F12)=FALSE,COUNTIF('Prijava ekipa i izvlačenje br.'!E12:'Prijava ekipa i izvlačenje br.'!Q12,"C")=0),COUNTA(D$2:D$13)-COUNTIF(D$2:D$13,"")+1,IF(AND(ISNUMBER(F12)=TRUE,ISNUMBER(J12)=TRUE),((COUNT(F$2:F$13)+1-RANK(F12,$F$2:$F$13,0)-RANK(F12,$F$2:$F$13,1))/2)+RANK(F12,$F$2:$F$13,0)+1,IF(ISNUMBER(F12)=TRUE,((COUNT(F$2:F$13)+1-RANK(F12,$F$2:$F$13,0)-RANK(F12,$F$2:$F$13,1))/2)+RANK(F12,$F$2:$F$13,0),"")))</f>
        <v>6.5</v>
      </c>
      <c r="C12" s="55">
        <f>IF(AND(ISNUMBER('Prijava ekipa i izvlačenje br.'!A12)=TRUE,COUNTIF(E12,"")=0),'Prijava ekipa i izvlačenje br.'!A12,IF(AND(ISNUMBER('Prijava ekipa i izvlačenje br.'!F12)=TRUE,COUNTIF('Prijava ekipa i izvlačenje br.'!$E12,"C")=1),'Prijava ekipa i izvlačenje br.'!F12,IF(AND(ISNUMBER('Prijava ekipa i izvlačenje br.'!I12)=TRUE,COUNTIF('Prijava ekipa i izvlačenje br.'!$H12,"C")=1),'Prijava ekipa i izvlačenje br.'!I12,IF(AND(ISNUMBER('Prijava ekipa i izvlačenje br.'!L12)=TRUE,COUNTIF('Prijava ekipa i izvlačenje br.'!$K12,"C")=1),'Prijava ekipa i izvlačenje br.'!L12,IF(AND(ISNUMBER('Prijava ekipa i izvlačenje br.'!O12)=TRUE,COUNTIF('Prijava ekipa i izvlačenje br.'!$N12,"C")=1),'Prijava ekipa i izvlačenje br.'!O12,IF(AND(ISNUMBER('Prijava ekipa i izvlačenje br.'!R12)=TRUE,COUNTIF('Prijava ekipa i izvlačenje br.'!$Q12,"C")=1),'Prijava ekipa i izvlačenje br.'!R12,""))))))</f>
        <v>11</v>
      </c>
      <c r="D12" s="8" t="str">
        <f>IF(ISBLANK('Prijava ekipa i izvlačenje br.'!C12)=TRUE,"",'Prijava ekipa i izvlačenje br.'!C12)</f>
        <v>Ilova Garešnica</v>
      </c>
      <c r="E12" s="8" t="str">
        <f>IF(COUNTIF('Prijava ekipa i izvlačenje br.'!$E12,"C")=1,'Prijava ekipa i izvlačenje br.'!$D12,IF(COUNTIF('Prijava ekipa i izvlačenje br.'!$H12,"C")=1,'Prijava ekipa i izvlačenje br.'!$G12,IF(COUNTIF('Prijava ekipa i izvlačenje br.'!$K12,"C")=1,'Prijava ekipa i izvlačenje br.'!$J12,IF(COUNTIF('Prijava ekipa i izvlačenje br.'!$N12,"C")=1,'Prijava ekipa i izvlačenje br.'!$M12,IF(COUNTIF('Prijava ekipa i izvlačenje br.'!$Q12,"C")=1,'Prijava ekipa i izvlačenje br.'!$P12,"")))))</f>
        <v>Dražen Červeni</v>
      </c>
      <c r="F12" s="422">
        <v>1765</v>
      </c>
      <c r="G12" s="53">
        <f>VLOOKUP(D12,'Upis rezultata A sektora'!$D$2:$M$13,8,0)</f>
        <v>53</v>
      </c>
      <c r="H12" s="53">
        <f t="shared" si="0"/>
        <v>6.5</v>
      </c>
      <c r="I12" s="53">
        <f t="shared" si="1"/>
        <v>11</v>
      </c>
      <c r="J12" s="422"/>
      <c r="K12" s="460"/>
    </row>
    <row r="13" spans="1:11" ht="13.5" thickBot="1">
      <c r="A13" s="431"/>
      <c r="B13" s="425">
        <f>IF(AND(ISTEXT('Prijava ekipa i izvlačenje br.'!C13)=TRUE,ISNUMBER(F13)=FALSE,COUNTIF('Prijava ekipa i izvlačenje br.'!E13:'Prijava ekipa i izvlačenje br.'!Q13,"C")=0),COUNTA(D$2:D$13)-COUNTIF(D$2:D$13,"")+1,IF(AND(ISNUMBER(F13)=TRUE,ISNUMBER(J13)=TRUE),((COUNT(F$2:F$13)+1-RANK(F13,$F$2:$F$13,0)-RANK(F13,$F$2:$F$13,1))/2)+RANK(F13,$F$2:$F$13,0)+1,IF(ISNUMBER(F13)=TRUE,((COUNT(F$2:F$13)+1-RANK(F13,$F$2:$F$13,0)-RANK(F13,$F$2:$F$13,1))/2)+RANK(F13,$F$2:$F$13,0),"")))</f>
        <v>3</v>
      </c>
      <c r="C13" s="426">
        <f>IF(AND(ISNUMBER('Prijava ekipa i izvlačenje br.'!A13)=TRUE,COUNTIF(E13,"")=0),'Prijava ekipa i izvlačenje br.'!A13,IF(AND(ISNUMBER('Prijava ekipa i izvlačenje br.'!F13)=TRUE,COUNTIF('Prijava ekipa i izvlačenje br.'!$E13,"C")=1),'Prijava ekipa i izvlačenje br.'!F13,IF(AND(ISNUMBER('Prijava ekipa i izvlačenje br.'!I13)=TRUE,COUNTIF('Prijava ekipa i izvlačenje br.'!$H13,"C")=1),'Prijava ekipa i izvlačenje br.'!I13,IF(AND(ISNUMBER('Prijava ekipa i izvlačenje br.'!L13)=TRUE,COUNTIF('Prijava ekipa i izvlačenje br.'!$K13,"C")=1),'Prijava ekipa i izvlačenje br.'!L13,IF(AND(ISNUMBER('Prijava ekipa i izvlačenje br.'!O13)=TRUE,COUNTIF('Prijava ekipa i izvlačenje br.'!$N13,"C")=1),'Prijava ekipa i izvlačenje br.'!O13,IF(AND(ISNUMBER('Prijava ekipa i izvlačenje br.'!R13)=TRUE,COUNTIF('Prijava ekipa i izvlačenje br.'!$Q13,"C")=1),'Prijava ekipa i izvlačenje br.'!R13,""))))))</f>
        <v>12</v>
      </c>
      <c r="D13" s="433" t="str">
        <f>IF(ISBLANK('Prijava ekipa i izvlačenje br.'!C13)=TRUE,"",'Prijava ekipa i izvlačenje br.'!C13)</f>
        <v>Jez Jasenovac</v>
      </c>
      <c r="E13" s="433" t="str">
        <f>IF(COUNTIF('Prijava ekipa i izvlačenje br.'!$E13,"C")=1,'Prijava ekipa i izvlačenje br.'!$D13,IF(COUNTIF('Prijava ekipa i izvlačenje br.'!$H13,"C")=1,'Prijava ekipa i izvlačenje br.'!$G13,IF(COUNTIF('Prijava ekipa i izvlačenje br.'!$K13,"C")=1,'Prijava ekipa i izvlačenje br.'!$J13,IF(COUNTIF('Prijava ekipa i izvlačenje br.'!$N13,"C")=1,'Prijava ekipa i izvlačenje br.'!$M13,IF(COUNTIF('Prijava ekipa i izvlačenje br.'!$Q13,"C")=1,'Prijava ekipa i izvlačenje br.'!$P13,"")))))</f>
        <v>Siniša Finek</v>
      </c>
      <c r="F13" s="428">
        <v>4500</v>
      </c>
      <c r="G13" s="434">
        <f>VLOOKUP(D13,'Upis rezultata A sektora'!$D$2:$M$13,8,0)</f>
        <v>58</v>
      </c>
      <c r="H13" s="434">
        <f t="shared" si="0"/>
        <v>3</v>
      </c>
      <c r="I13" s="434">
        <f t="shared" si="1"/>
        <v>12</v>
      </c>
      <c r="J13" s="428"/>
      <c r="K13" s="460"/>
    </row>
  </sheetData>
  <sheetProtection password="C7E2" sheet="1" objects="1" scenarios="1"/>
  <printOptions/>
  <pageMargins left="0.75" right="0.75" top="1" bottom="1" header="0.5" footer="0.5"/>
  <pageSetup horizontalDpi="300" verticalDpi="300" orientation="portrait" paperSize="9" r:id="rId3"/>
  <headerFooter alignWithMargins="0">
    <oddFooter>&amp;C&amp;"Arial,Kurziv"&amp;8&amp;YProgram za izračun rezultata i provođenje natjecanja</oddFooter>
  </headerFooter>
  <legacyDrawing r:id="rId2"/>
</worksheet>
</file>

<file path=xl/worksheets/sheet13.xml><?xml version="1.0" encoding="utf-8"?>
<worksheet xmlns="http://schemas.openxmlformats.org/spreadsheetml/2006/main" xmlns:r="http://schemas.openxmlformats.org/officeDocument/2006/relationships">
  <sheetPr codeName="Sheet16">
    <tabColor indexed="10"/>
  </sheetPr>
  <dimension ref="A1:M13"/>
  <sheetViews>
    <sheetView showRowColHeaders="0" zoomScalePageLayoutView="0" workbookViewId="0" topLeftCell="A1">
      <selection activeCell="F14" sqref="F14"/>
    </sheetView>
  </sheetViews>
  <sheetFormatPr defaultColWidth="9.140625" defaultRowHeight="12.75"/>
  <cols>
    <col min="1" max="1" width="9.140625" style="444" customWidth="1"/>
    <col min="2" max="2" width="9.140625" style="452" customWidth="1"/>
    <col min="3" max="3" width="9.140625" style="459" customWidth="1"/>
    <col min="4" max="4" width="20.140625" style="459" customWidth="1"/>
    <col min="5" max="5" width="18.57421875" style="444" customWidth="1"/>
    <col min="6" max="6" width="9.28125" style="444" customWidth="1"/>
    <col min="7" max="9" width="0" style="459" hidden="1" customWidth="1"/>
    <col min="10" max="16384" width="9.140625" style="444" customWidth="1"/>
  </cols>
  <sheetData>
    <row r="1" spans="1:13" ht="255">
      <c r="A1" s="196"/>
      <c r="B1" s="146" t="s">
        <v>82</v>
      </c>
      <c r="C1" s="146" t="s">
        <v>23</v>
      </c>
      <c r="D1" s="140" t="s">
        <v>21</v>
      </c>
      <c r="E1" s="140" t="s">
        <v>83</v>
      </c>
      <c r="F1" s="195" t="s">
        <v>84</v>
      </c>
      <c r="G1" s="419" t="s">
        <v>23</v>
      </c>
      <c r="H1" s="419" t="str">
        <f>B1</f>
        <v>Sektorski plasman</v>
      </c>
      <c r="I1" s="419" t="s">
        <v>210</v>
      </c>
      <c r="J1" s="145" t="s">
        <v>220</v>
      </c>
      <c r="K1" s="456"/>
      <c r="L1" s="449"/>
      <c r="M1" s="449"/>
    </row>
    <row r="2" spans="1:11" ht="12.75">
      <c r="A2" s="49"/>
      <c r="B2" s="54">
        <f>IF(AND(ISTEXT('Prijava ekipa i izvlačenje br.'!C2)=TRUE,ISNUMBER(F2)=FALSE,COUNTIF('Prijava ekipa i izvlačenje br.'!E2:'Prijava ekipa i izvlačenje br.'!Q2,"D")=0),COUNTA(D$2:D$13)-COUNTIF(D$2:D$13,"")+1,IF(AND(ISNUMBER(F2)=TRUE,ISNUMBER(J2)=TRUE),((COUNT(F$2:F$13)+1-RANK(F2,$F$2:$F$13,0)-RANK(F2,$F$2:$F$13,1))/2)+RANK(F2,$F$2:$F$13,0)+1,IF(ISNUMBER(F2)=TRUE,((COUNT(F$2:F$13)+1-RANK(F2,$F$2:$F$13,0)-RANK(F2,$F$2:$F$13,1))/2)+RANK(F2,$F$2:$F$13,0),"")))</f>
        <v>1</v>
      </c>
      <c r="C2" s="55">
        <f>IF(AND(ISNUMBER('Prijava ekipa i izvlačenje br.'!A2)=TRUE,COUNTIF(E2,"")=0),'Prijava ekipa i izvlačenje br.'!A2,IF(AND(ISNUMBER('Prijava ekipa i izvlačenje br.'!F2)=TRUE,COUNTIF('Prijava ekipa i izvlačenje br.'!$E2,"D")=1),'Prijava ekipa i izvlačenje br.'!F2,IF(AND(ISNUMBER('Prijava ekipa i izvlačenje br.'!I2)=TRUE,COUNTIF('Prijava ekipa i izvlačenje br.'!$H2,"D")=1),'Prijava ekipa i izvlačenje br.'!I2,IF(AND(ISNUMBER('Prijava ekipa i izvlačenje br.'!L2)=TRUE,COUNTIF('Prijava ekipa i izvlačenje br.'!$K2,"D")=1),'Prijava ekipa i izvlačenje br.'!L2,IF(AND(ISNUMBER('Prijava ekipa i izvlačenje br.'!O2)=TRUE,COUNTIF('Prijava ekipa i izvlačenje br.'!$N2,"D")=1),'Prijava ekipa i izvlačenje br.'!O2,IF(AND(ISNUMBER('Prijava ekipa i izvlačenje br.'!R2)=TRUE,COUNTIF('Prijava ekipa i izvlačenje br.'!$Q2,"D")=1),'Prijava ekipa i izvlačenje br.'!R2,""))))))</f>
        <v>1</v>
      </c>
      <c r="D2" s="8" t="str">
        <f>IF(ISBLANK('Prijava ekipa i izvlačenje br.'!C2)=TRUE,"",'Prijava ekipa i izvlačenje br.'!C2)</f>
        <v>Korana Karlovac</v>
      </c>
      <c r="E2" s="8" t="str">
        <f>IF(COUNTIF('Prijava ekipa i izvlačenje br.'!$E2,"D")=1,'Prijava ekipa i izvlačenje br.'!$D2,IF(COUNTIF('Prijava ekipa i izvlačenje br.'!$H2,"D")=1,'Prijava ekipa i izvlačenje br.'!$G2,IF(COUNTIF('Prijava ekipa i izvlačenje br.'!$K2,"D")=1,'Prijava ekipa i izvlačenje br.'!$J2,IF(COUNTIF('Prijava ekipa i izvlačenje br.'!$N2,"D")=1,'Prijava ekipa i izvlačenje br.'!$M2,IF(COUNTIF('Prijava ekipa i izvlačenje br.'!$Q2,"D")=1,'Prijava ekipa i izvlačenje br.'!$P2,"")))))</f>
        <v>Damir Jauševac</v>
      </c>
      <c r="F2" s="422">
        <v>5000</v>
      </c>
      <c r="G2" s="53">
        <f>VLOOKUP(D2,'Upis rezultata A sektora'!$D$2:$M$13,9,0)</f>
        <v>4</v>
      </c>
      <c r="H2" s="53">
        <f>B2</f>
        <v>1</v>
      </c>
      <c r="I2" s="53">
        <f>C2</f>
        <v>1</v>
      </c>
      <c r="J2" s="422"/>
      <c r="K2" s="460"/>
    </row>
    <row r="3" spans="1:11" ht="12.75">
      <c r="A3" s="49"/>
      <c r="B3" s="54">
        <f>IF(AND(ISTEXT('Prijava ekipa i izvlačenje br.'!C3)=TRUE,ISNUMBER(F3)=FALSE,COUNTIF('Prijava ekipa i izvlačenje br.'!E3:'Prijava ekipa i izvlačenje br.'!Q3,"D")=0),COUNTA(D$2:D$13)-COUNTIF(D$2:D$13,"")+1,IF(AND(ISNUMBER(F3)=TRUE,ISNUMBER(J3)=TRUE),((COUNT(F$2:F$13)+1-RANK(F3,$F$2:$F$13,0)-RANK(F3,$F$2:$F$13,1))/2)+RANK(F3,$F$2:$F$13,0)+1,IF(ISNUMBER(F3)=TRUE,((COUNT(F$2:F$13)+1-RANK(F3,$F$2:$F$13,0)-RANK(F3,$F$2:$F$13,1))/2)+RANK(F3,$F$2:$F$13,0),"")))</f>
        <v>11</v>
      </c>
      <c r="C3" s="55">
        <f>IF(AND(ISNUMBER('Prijava ekipa i izvlačenje br.'!A3)=TRUE,COUNTIF(E3,"")=0),'Prijava ekipa i izvlačenje br.'!A3,IF(AND(ISNUMBER('Prijava ekipa i izvlačenje br.'!F3)=TRUE,COUNTIF('Prijava ekipa i izvlačenje br.'!$E3,"D")=1),'Prijava ekipa i izvlačenje br.'!F3,IF(AND(ISNUMBER('Prijava ekipa i izvlačenje br.'!I3)=TRUE,COUNTIF('Prijava ekipa i izvlačenje br.'!$H3,"D")=1),'Prijava ekipa i izvlačenje br.'!I3,IF(AND(ISNUMBER('Prijava ekipa i izvlačenje br.'!L3)=TRUE,COUNTIF('Prijava ekipa i izvlačenje br.'!$K3,"D")=1),'Prijava ekipa i izvlačenje br.'!L3,IF(AND(ISNUMBER('Prijava ekipa i izvlačenje br.'!O3)=TRUE,COUNTIF('Prijava ekipa i izvlačenje br.'!$N3,"D")=1),'Prijava ekipa i izvlačenje br.'!O3,IF(AND(ISNUMBER('Prijava ekipa i izvlačenje br.'!R3)=TRUE,COUNTIF('Prijava ekipa i izvlačenje br.'!$Q3,"D")=1),'Prijava ekipa i izvlačenje br.'!R3,""))))))</f>
        <v>2</v>
      </c>
      <c r="D3" s="8" t="str">
        <f>IF(ISBLANK('Prijava ekipa i izvlačenje br.'!C3)=TRUE,"",'Prijava ekipa i izvlačenje br.'!C3)</f>
        <v>Štuka Torčec</v>
      </c>
      <c r="E3" s="8" t="str">
        <f>IF(COUNTIF('Prijava ekipa i izvlačenje br.'!$E3,"D")=1,'Prijava ekipa i izvlačenje br.'!$D3,IF(COUNTIF('Prijava ekipa i izvlačenje br.'!$H3,"D")=1,'Prijava ekipa i izvlačenje br.'!$G3,IF(COUNTIF('Prijava ekipa i izvlačenje br.'!$K3,"D")=1,'Prijava ekipa i izvlačenje br.'!$J3,IF(COUNTIF('Prijava ekipa i izvlačenje br.'!$N3,"D")=1,'Prijava ekipa i izvlačenje br.'!$M3,IF(COUNTIF('Prijava ekipa i izvlačenje br.'!$Q3,"D")=1,'Prijava ekipa i izvlačenje br.'!$P3,"")))))</f>
        <v>Hrvoje Horvat</v>
      </c>
      <c r="F3" s="422">
        <v>1098</v>
      </c>
      <c r="G3" s="53">
        <f>VLOOKUP(D3,'Upis rezultata A sektora'!$D$2:$M$13,9,0)</f>
        <v>9</v>
      </c>
      <c r="H3" s="53">
        <f aca="true" t="shared" si="0" ref="H3:H13">B3</f>
        <v>11</v>
      </c>
      <c r="I3" s="53">
        <f aca="true" t="shared" si="1" ref="I3:I13">C3</f>
        <v>2</v>
      </c>
      <c r="J3" s="422"/>
      <c r="K3" s="460"/>
    </row>
    <row r="4" spans="1:11" ht="12.75">
      <c r="A4" s="49"/>
      <c r="B4" s="54">
        <f>IF(AND(ISTEXT('Prijava ekipa i izvlačenje br.'!C4)=TRUE,ISNUMBER(F4)=FALSE,COUNTIF('Prijava ekipa i izvlačenje br.'!E4:'Prijava ekipa i izvlačenje br.'!Q4,"D")=0),COUNTA(D$2:D$13)-COUNTIF(D$2:D$13,"")+1,IF(AND(ISNUMBER(F4)=TRUE,ISNUMBER(J4)=TRUE),((COUNT(F$2:F$13)+1-RANK(F4,$F$2:$F$13,0)-RANK(F4,$F$2:$F$13,1))/2)+RANK(F4,$F$2:$F$13,0)+1,IF(ISNUMBER(F4)=TRUE,((COUNT(F$2:F$13)+1-RANK(F4,$F$2:$F$13,0)-RANK(F4,$F$2:$F$13,1))/2)+RANK(F4,$F$2:$F$13,0),"")))</f>
        <v>10</v>
      </c>
      <c r="C4" s="55">
        <f>IF(AND(ISNUMBER('Prijava ekipa i izvlačenje br.'!A4)=TRUE,COUNTIF(E4,"")=0),'Prijava ekipa i izvlačenje br.'!A4,IF(AND(ISNUMBER('Prijava ekipa i izvlačenje br.'!F4)=TRUE,COUNTIF('Prijava ekipa i izvlačenje br.'!$E4,"D")=1),'Prijava ekipa i izvlačenje br.'!F4,IF(AND(ISNUMBER('Prijava ekipa i izvlačenje br.'!I4)=TRUE,COUNTIF('Prijava ekipa i izvlačenje br.'!$H4,"D")=1),'Prijava ekipa i izvlačenje br.'!I4,IF(AND(ISNUMBER('Prijava ekipa i izvlačenje br.'!L4)=TRUE,COUNTIF('Prijava ekipa i izvlačenje br.'!$K4,"D")=1),'Prijava ekipa i izvlačenje br.'!L4,IF(AND(ISNUMBER('Prijava ekipa i izvlačenje br.'!O4)=TRUE,COUNTIF('Prijava ekipa i izvlačenje br.'!$N4,"D")=1),'Prijava ekipa i izvlačenje br.'!O4,IF(AND(ISNUMBER('Prijava ekipa i izvlačenje br.'!R4)=TRUE,COUNTIF('Prijava ekipa i izvlačenje br.'!$Q4,"D")=1),'Prijava ekipa i izvlačenje br.'!R4,""))))))</f>
        <v>3</v>
      </c>
      <c r="D4" s="8" t="str">
        <f>IF(ISBLANK('Prijava ekipa i izvlačenje br.'!C4)=TRUE,"",'Prijava ekipa i izvlačenje br.'!C4)</f>
        <v>Rak Rakitje</v>
      </c>
      <c r="E4" s="8" t="str">
        <f>IF(COUNTIF('Prijava ekipa i izvlačenje br.'!$E4,"D")=1,'Prijava ekipa i izvlačenje br.'!$D4,IF(COUNTIF('Prijava ekipa i izvlačenje br.'!$H4,"D")=1,'Prijava ekipa i izvlačenje br.'!$G4,IF(COUNTIF('Prijava ekipa i izvlačenje br.'!$K4,"D")=1,'Prijava ekipa i izvlačenje br.'!$J4,IF(COUNTIF('Prijava ekipa i izvlačenje br.'!$N4,"D")=1,'Prijava ekipa i izvlačenje br.'!$M4,IF(COUNTIF('Prijava ekipa i izvlačenje br.'!$Q4,"D")=1,'Prijava ekipa i izvlačenje br.'!$P4,"")))))</f>
        <v>Zlatko Novačić</v>
      </c>
      <c r="F4" s="422">
        <v>1256</v>
      </c>
      <c r="G4" s="53">
        <f>VLOOKUP(D4,'Upis rezultata A sektora'!$D$2:$M$13,9,0)</f>
        <v>14</v>
      </c>
      <c r="H4" s="53">
        <f t="shared" si="0"/>
        <v>10</v>
      </c>
      <c r="I4" s="53">
        <f t="shared" si="1"/>
        <v>3</v>
      </c>
      <c r="J4" s="422"/>
      <c r="K4" s="460"/>
    </row>
    <row r="5" spans="1:11" ht="12.75">
      <c r="A5" s="49"/>
      <c r="B5" s="54">
        <f>IF(AND(ISTEXT('Prijava ekipa i izvlačenje br.'!C5)=TRUE,ISNUMBER(F5)=FALSE,COUNTIF('Prijava ekipa i izvlačenje br.'!E5:'Prijava ekipa i izvlačenje br.'!Q5,"D")=0),COUNTA(D$2:D$13)-COUNTIF(D$2:D$13,"")+1,IF(AND(ISNUMBER(F5)=TRUE,ISNUMBER(J5)=TRUE),((COUNT(F$2:F$13)+1-RANK(F5,$F$2:$F$13,0)-RANK(F5,$F$2:$F$13,1))/2)+RANK(F5,$F$2:$F$13,0)+1,IF(ISNUMBER(F5)=TRUE,((COUNT(F$2:F$13)+1-RANK(F5,$F$2:$F$13,0)-RANK(F5,$F$2:$F$13,1))/2)+RANK(F5,$F$2:$F$13,0),"")))</f>
        <v>9</v>
      </c>
      <c r="C5" s="55">
        <f>IF(AND(ISNUMBER('Prijava ekipa i izvlačenje br.'!A5)=TRUE,COUNTIF(E5,"")=0),'Prijava ekipa i izvlačenje br.'!A5,IF(AND(ISNUMBER('Prijava ekipa i izvlačenje br.'!F5)=TRUE,COUNTIF('Prijava ekipa i izvlačenje br.'!$E5,"D")=1),'Prijava ekipa i izvlačenje br.'!F5,IF(AND(ISNUMBER('Prijava ekipa i izvlačenje br.'!I5)=TRUE,COUNTIF('Prijava ekipa i izvlačenje br.'!$H5,"D")=1),'Prijava ekipa i izvlačenje br.'!I5,IF(AND(ISNUMBER('Prijava ekipa i izvlačenje br.'!L5)=TRUE,COUNTIF('Prijava ekipa i izvlačenje br.'!$K5,"D")=1),'Prijava ekipa i izvlačenje br.'!L5,IF(AND(ISNUMBER('Prijava ekipa i izvlačenje br.'!O5)=TRUE,COUNTIF('Prijava ekipa i izvlačenje br.'!$N5,"D")=1),'Prijava ekipa i izvlačenje br.'!O5,IF(AND(ISNUMBER('Prijava ekipa i izvlačenje br.'!R5)=TRUE,COUNTIF('Prijava ekipa i izvlačenje br.'!$Q5,"D")=1),'Prijava ekipa i izvlačenje br.'!R5,""))))))</f>
        <v>4</v>
      </c>
      <c r="D5" s="8" t="str">
        <f>IF(ISBLANK('Prijava ekipa i izvlačenje br.'!C5)=TRUE,"",'Prijava ekipa i izvlačenje br.'!C5)</f>
        <v>Bjelovar Bjelovar</v>
      </c>
      <c r="E5" s="8" t="str">
        <f>IF(COUNTIF('Prijava ekipa i izvlačenje br.'!$E5,"D")=1,'Prijava ekipa i izvlačenje br.'!$D5,IF(COUNTIF('Prijava ekipa i izvlačenje br.'!$H5,"D")=1,'Prijava ekipa i izvlačenje br.'!$G5,IF(COUNTIF('Prijava ekipa i izvlačenje br.'!$K5,"D")=1,'Prijava ekipa i izvlačenje br.'!$J5,IF(COUNTIF('Prijava ekipa i izvlačenje br.'!$N5,"D")=1,'Prijava ekipa i izvlačenje br.'!$M5,IF(COUNTIF('Prijava ekipa i izvlačenje br.'!$Q5,"D")=1,'Prijava ekipa i izvlačenje br.'!$P5,"")))))</f>
        <v>Marijan Jurić</v>
      </c>
      <c r="F5" s="422">
        <v>1325</v>
      </c>
      <c r="G5" s="53">
        <f>VLOOKUP(D5,'Upis rezultata A sektora'!$D$2:$M$13,9,0)</f>
        <v>19</v>
      </c>
      <c r="H5" s="53">
        <f t="shared" si="0"/>
        <v>9</v>
      </c>
      <c r="I5" s="53">
        <f t="shared" si="1"/>
        <v>4</v>
      </c>
      <c r="J5" s="422"/>
      <c r="K5" s="460"/>
    </row>
    <row r="6" spans="1:11" ht="12.75">
      <c r="A6" s="49"/>
      <c r="B6" s="54">
        <f>IF(AND(ISTEXT('Prijava ekipa i izvlačenje br.'!C6)=TRUE,ISNUMBER(F6)=FALSE,COUNTIF('Prijava ekipa i izvlačenje br.'!E6:'Prijava ekipa i izvlačenje br.'!Q6,"D")=0),COUNTA(D$2:D$13)-COUNTIF(D$2:D$13,"")+1,IF(AND(ISNUMBER(F6)=TRUE,ISNUMBER(J6)=TRUE),((COUNT(F$2:F$13)+1-RANK(F6,$F$2:$F$13,0)-RANK(F6,$F$2:$F$13,1))/2)+RANK(F6,$F$2:$F$13,0)+1,IF(ISNUMBER(F6)=TRUE,((COUNT(F$2:F$13)+1-RANK(F6,$F$2:$F$13,0)-RANK(F6,$F$2:$F$13,1))/2)+RANK(F6,$F$2:$F$13,0),"")))</f>
        <v>2</v>
      </c>
      <c r="C6" s="55">
        <f>IF(AND(ISNUMBER('Prijava ekipa i izvlačenje br.'!A6)=TRUE,COUNTIF(E6,"")=0),'Prijava ekipa i izvlačenje br.'!A6,IF(AND(ISNUMBER('Prijava ekipa i izvlačenje br.'!F6)=TRUE,COUNTIF('Prijava ekipa i izvlačenje br.'!$E6,"D")=1),'Prijava ekipa i izvlačenje br.'!F6,IF(AND(ISNUMBER('Prijava ekipa i izvlačenje br.'!I6)=TRUE,COUNTIF('Prijava ekipa i izvlačenje br.'!$H6,"D")=1),'Prijava ekipa i izvlačenje br.'!I6,IF(AND(ISNUMBER('Prijava ekipa i izvlačenje br.'!L6)=TRUE,COUNTIF('Prijava ekipa i izvlačenje br.'!$K6,"D")=1),'Prijava ekipa i izvlačenje br.'!L6,IF(AND(ISNUMBER('Prijava ekipa i izvlačenje br.'!O6)=TRUE,COUNTIF('Prijava ekipa i izvlačenje br.'!$N6,"D")=1),'Prijava ekipa i izvlačenje br.'!O6,IF(AND(ISNUMBER('Prijava ekipa i izvlačenje br.'!R6)=TRUE,COUNTIF('Prijava ekipa i izvlačenje br.'!$Q6,"D")=1),'Prijava ekipa i izvlačenje br.'!R6,""))))))</f>
        <v>5</v>
      </c>
      <c r="D6" s="8" t="str">
        <f>IF(ISBLANK('Prijava ekipa i izvlačenje br.'!C6)=TRUE,"",'Prijava ekipa i izvlačenje br.'!C6)</f>
        <v>Varaždin Varaždin</v>
      </c>
      <c r="E6" s="8" t="str">
        <f>IF(COUNTIF('Prijava ekipa i izvlačenje br.'!$E6,"D")=1,'Prijava ekipa i izvlačenje br.'!$D6,IF(COUNTIF('Prijava ekipa i izvlačenje br.'!$H6,"D")=1,'Prijava ekipa i izvlačenje br.'!$G6,IF(COUNTIF('Prijava ekipa i izvlačenje br.'!$K6,"D")=1,'Prijava ekipa i izvlačenje br.'!$J6,IF(COUNTIF('Prijava ekipa i izvlačenje br.'!$N6,"D")=1,'Prijava ekipa i izvlačenje br.'!$M6,IF(COUNTIF('Prijava ekipa i izvlačenje br.'!$Q6,"D")=1,'Prijava ekipa i izvlačenje br.'!$P6,"")))))</f>
        <v>Damir Škorić</v>
      </c>
      <c r="F6" s="422">
        <v>3700</v>
      </c>
      <c r="G6" s="53">
        <f>VLOOKUP(D6,'Upis rezultata A sektora'!$D$2:$M$13,9,0)</f>
        <v>24</v>
      </c>
      <c r="H6" s="53">
        <f t="shared" si="0"/>
        <v>2</v>
      </c>
      <c r="I6" s="53">
        <f t="shared" si="1"/>
        <v>5</v>
      </c>
      <c r="J6" s="422"/>
      <c r="K6" s="460"/>
    </row>
    <row r="7" spans="1:11" ht="12.75">
      <c r="A7" s="49"/>
      <c r="B7" s="54">
        <f>IF(AND(ISTEXT('Prijava ekipa i izvlačenje br.'!C7)=TRUE,ISNUMBER(F7)=FALSE,COUNTIF('Prijava ekipa i izvlačenje br.'!E7:'Prijava ekipa i izvlačenje br.'!Q7,"D")=0),COUNTA(D$2:D$13)-COUNTIF(D$2:D$13,"")+1,IF(AND(ISNUMBER(F7)=TRUE,ISNUMBER(J7)=TRUE),((COUNT(F$2:F$13)+1-RANK(F7,$F$2:$F$13,0)-RANK(F7,$F$2:$F$13,1))/2)+RANK(F7,$F$2:$F$13,0)+1,IF(ISNUMBER(F7)=TRUE,((COUNT(F$2:F$13)+1-RANK(F7,$F$2:$F$13,0)-RANK(F7,$F$2:$F$13,1))/2)+RANK(F7,$F$2:$F$13,0),"")))</f>
        <v>8</v>
      </c>
      <c r="C7" s="55">
        <f>IF(AND(ISNUMBER('Prijava ekipa i izvlačenje br.'!A7)=TRUE,COUNTIF(E7,"")=0),'Prijava ekipa i izvlačenje br.'!A7,IF(AND(ISNUMBER('Prijava ekipa i izvlačenje br.'!F7)=TRUE,COUNTIF('Prijava ekipa i izvlačenje br.'!$E7,"D")=1),'Prijava ekipa i izvlačenje br.'!F7,IF(AND(ISNUMBER('Prijava ekipa i izvlačenje br.'!I7)=TRUE,COUNTIF('Prijava ekipa i izvlačenje br.'!$H7,"D")=1),'Prijava ekipa i izvlačenje br.'!I7,IF(AND(ISNUMBER('Prijava ekipa i izvlačenje br.'!L7)=TRUE,COUNTIF('Prijava ekipa i izvlačenje br.'!$K7,"D")=1),'Prijava ekipa i izvlačenje br.'!L7,IF(AND(ISNUMBER('Prijava ekipa i izvlačenje br.'!O7)=TRUE,COUNTIF('Prijava ekipa i izvlačenje br.'!$N7,"D")=1),'Prijava ekipa i izvlačenje br.'!O7,IF(AND(ISNUMBER('Prijava ekipa i izvlačenje br.'!R7)=TRUE,COUNTIF('Prijava ekipa i izvlačenje br.'!$Q7,"D")=1),'Prijava ekipa i izvlačenje br.'!R7,""))))))</f>
        <v>6</v>
      </c>
      <c r="D7" s="8" t="str">
        <f>IF(ISBLANK('Prijava ekipa i izvlačenje br.'!C7)=TRUE,"",'Prijava ekipa i izvlačenje br.'!C7)</f>
        <v>Azzuro Varaždin</v>
      </c>
      <c r="E7" s="8" t="str">
        <f>IF(COUNTIF('Prijava ekipa i izvlačenje br.'!$E7,"D")=1,'Prijava ekipa i izvlačenje br.'!$D7,IF(COUNTIF('Prijava ekipa i izvlačenje br.'!$H7,"D")=1,'Prijava ekipa i izvlačenje br.'!$G7,IF(COUNTIF('Prijava ekipa i izvlačenje br.'!$K7,"D")=1,'Prijava ekipa i izvlačenje br.'!$J7,IF(COUNTIF('Prijava ekipa i izvlačenje br.'!$N7,"D")=1,'Prijava ekipa i izvlačenje br.'!$M7,IF(COUNTIF('Prijava ekipa i izvlačenje br.'!$Q7,"D")=1,'Prijava ekipa i izvlačenje br.'!$P7,"")))))</f>
        <v>Mensur Rošić</v>
      </c>
      <c r="F7" s="422">
        <v>1354</v>
      </c>
      <c r="G7" s="53">
        <f>VLOOKUP(D7,'Upis rezultata A sektora'!$D$2:$M$13,9,0)</f>
        <v>29</v>
      </c>
      <c r="H7" s="53">
        <f t="shared" si="0"/>
        <v>8</v>
      </c>
      <c r="I7" s="53">
        <f t="shared" si="1"/>
        <v>6</v>
      </c>
      <c r="J7" s="422"/>
      <c r="K7" s="460"/>
    </row>
    <row r="8" spans="1:11" ht="12.75">
      <c r="A8" s="49"/>
      <c r="B8" s="54">
        <f>IF(AND(ISTEXT('Prijava ekipa i izvlačenje br.'!C8)=TRUE,ISNUMBER(F8)=FALSE,COUNTIF('Prijava ekipa i izvlačenje br.'!E8:'Prijava ekipa i izvlačenje br.'!Q8,"D")=0),COUNTA(D$2:D$13)-COUNTIF(D$2:D$13,"")+1,IF(AND(ISNUMBER(F8)=TRUE,ISNUMBER(J8)=TRUE),((COUNT(F$2:F$13)+1-RANK(F8,$F$2:$F$13,0)-RANK(F8,$F$2:$F$13,1))/2)+RANK(F8,$F$2:$F$13,0)+1,IF(ISNUMBER(F8)=TRUE,((COUNT(F$2:F$13)+1-RANK(F8,$F$2:$F$13,0)-RANK(F8,$F$2:$F$13,1))/2)+RANK(F8,$F$2:$F$13,0),"")))</f>
        <v>7</v>
      </c>
      <c r="C8" s="55">
        <f>IF(AND(ISNUMBER('Prijava ekipa i izvlačenje br.'!A8)=TRUE,COUNTIF(E8,"")=0),'Prijava ekipa i izvlačenje br.'!A8,IF(AND(ISNUMBER('Prijava ekipa i izvlačenje br.'!F8)=TRUE,COUNTIF('Prijava ekipa i izvlačenje br.'!$E8,"D")=1),'Prijava ekipa i izvlačenje br.'!F8,IF(AND(ISNUMBER('Prijava ekipa i izvlačenje br.'!I8)=TRUE,COUNTIF('Prijava ekipa i izvlačenje br.'!$H8,"D")=1),'Prijava ekipa i izvlačenje br.'!I8,IF(AND(ISNUMBER('Prijava ekipa i izvlačenje br.'!L8)=TRUE,COUNTIF('Prijava ekipa i izvlačenje br.'!$K8,"D")=1),'Prijava ekipa i izvlačenje br.'!L8,IF(AND(ISNUMBER('Prijava ekipa i izvlačenje br.'!O8)=TRUE,COUNTIF('Prijava ekipa i izvlačenje br.'!$N8,"D")=1),'Prijava ekipa i izvlačenje br.'!O8,IF(AND(ISNUMBER('Prijava ekipa i izvlačenje br.'!R8)=TRUE,COUNTIF('Prijava ekipa i izvlačenje br.'!$Q8,"D")=1),'Prijava ekipa i izvlačenje br.'!R8,""))))))</f>
        <v>7</v>
      </c>
      <c r="D8" s="8" t="str">
        <f>IF(ISBLANK('Prijava ekipa i izvlačenje br.'!C8)=TRUE,"",'Prijava ekipa i izvlačenje br.'!C8)</f>
        <v>Trnje-ŠR Zagreb</v>
      </c>
      <c r="E8" s="8" t="str">
        <f>IF(COUNTIF('Prijava ekipa i izvlačenje br.'!$E8,"D")=1,'Prijava ekipa i izvlačenje br.'!$D8,IF(COUNTIF('Prijava ekipa i izvlačenje br.'!$H8,"D")=1,'Prijava ekipa i izvlačenje br.'!$G8,IF(COUNTIF('Prijava ekipa i izvlačenje br.'!$K8,"D")=1,'Prijava ekipa i izvlačenje br.'!$J8,IF(COUNTIF('Prijava ekipa i izvlačenje br.'!$N8,"D")=1,'Prijava ekipa i izvlačenje br.'!$M8,IF(COUNTIF('Prijava ekipa i izvlačenje br.'!$Q8,"D")=1,'Prijava ekipa i izvlačenje br.'!$P8,"")))))</f>
        <v>Tihomir Vukić</v>
      </c>
      <c r="F8" s="422">
        <v>1498</v>
      </c>
      <c r="G8" s="53">
        <f>VLOOKUP(D8,'Upis rezultata A sektora'!$D$2:$M$13,9,0)</f>
        <v>34</v>
      </c>
      <c r="H8" s="53">
        <f t="shared" si="0"/>
        <v>7</v>
      </c>
      <c r="I8" s="53">
        <f t="shared" si="1"/>
        <v>7</v>
      </c>
      <c r="J8" s="422"/>
      <c r="K8" s="460"/>
    </row>
    <row r="9" spans="1:11" ht="12.75">
      <c r="A9" s="49"/>
      <c r="B9" s="54">
        <f>IF(AND(ISTEXT('Prijava ekipa i izvlačenje br.'!C9)=TRUE,ISNUMBER(F9)=FALSE,COUNTIF('Prijava ekipa i izvlačenje br.'!E9:'Prijava ekipa i izvlačenje br.'!Q9,"D")=0),COUNTA(D$2:D$13)-COUNTIF(D$2:D$13,"")+1,IF(AND(ISNUMBER(F9)=TRUE,ISNUMBER(J9)=TRUE),((COUNT(F$2:F$13)+1-RANK(F9,$F$2:$F$13,0)-RANK(F9,$F$2:$F$13,1))/2)+RANK(F9,$F$2:$F$13,0)+1,IF(ISNUMBER(F9)=TRUE,((COUNT(F$2:F$13)+1-RANK(F9,$F$2:$F$13,0)-RANK(F9,$F$2:$F$13,1))/2)+RANK(F9,$F$2:$F$13,0),"")))</f>
        <v>12</v>
      </c>
      <c r="C9" s="55">
        <f>IF(AND(ISNUMBER('Prijava ekipa i izvlačenje br.'!A9)=TRUE,COUNTIF(E9,"")=0),'Prijava ekipa i izvlačenje br.'!A9,IF(AND(ISNUMBER('Prijava ekipa i izvlačenje br.'!F9)=TRUE,COUNTIF('Prijava ekipa i izvlačenje br.'!$E9,"D")=1),'Prijava ekipa i izvlačenje br.'!F9,IF(AND(ISNUMBER('Prijava ekipa i izvlačenje br.'!I9)=TRUE,COUNTIF('Prijava ekipa i izvlačenje br.'!$H9,"D")=1),'Prijava ekipa i izvlačenje br.'!I9,IF(AND(ISNUMBER('Prijava ekipa i izvlačenje br.'!L9)=TRUE,COUNTIF('Prijava ekipa i izvlačenje br.'!$K9,"D")=1),'Prijava ekipa i izvlačenje br.'!L9,IF(AND(ISNUMBER('Prijava ekipa i izvlačenje br.'!O9)=TRUE,COUNTIF('Prijava ekipa i izvlačenje br.'!$N9,"D")=1),'Prijava ekipa i izvlačenje br.'!O9,IF(AND(ISNUMBER('Prijava ekipa i izvlačenje br.'!R9)=TRUE,COUNTIF('Prijava ekipa i izvlačenje br.'!$Q9,"D")=1),'Prijava ekipa i izvlačenje br.'!R9,""))))))</f>
        <v>8</v>
      </c>
      <c r="D9" s="8" t="str">
        <f>IF(ISBLANK('Prijava ekipa i izvlačenje br.'!C9)=TRUE,"",'Prijava ekipa i izvlačenje br.'!C9)</f>
        <v>Klen N.Gradiška</v>
      </c>
      <c r="E9" s="8" t="str">
        <f>IF(COUNTIF('Prijava ekipa i izvlačenje br.'!$E9,"D")=1,'Prijava ekipa i izvlačenje br.'!$D9,IF(COUNTIF('Prijava ekipa i izvlačenje br.'!$H9,"D")=1,'Prijava ekipa i izvlačenje br.'!$G9,IF(COUNTIF('Prijava ekipa i izvlačenje br.'!$K9,"D")=1,'Prijava ekipa i izvlačenje br.'!$J9,IF(COUNTIF('Prijava ekipa i izvlačenje br.'!$N9,"D")=1,'Prijava ekipa i izvlačenje br.'!$M9,IF(COUNTIF('Prijava ekipa i izvlačenje br.'!$Q9,"D")=1,'Prijava ekipa i izvlačenje br.'!$P9,"")))))</f>
        <v>Goran Funes</v>
      </c>
      <c r="F9" s="422">
        <v>480</v>
      </c>
      <c r="G9" s="53">
        <f>VLOOKUP(D9,'Upis rezultata A sektora'!$D$2:$M$13,9,0)</f>
        <v>39</v>
      </c>
      <c r="H9" s="53">
        <f t="shared" si="0"/>
        <v>12</v>
      </c>
      <c r="I9" s="53">
        <f t="shared" si="1"/>
        <v>8</v>
      </c>
      <c r="J9" s="422"/>
      <c r="K9" s="460"/>
    </row>
    <row r="10" spans="1:11" ht="12.75">
      <c r="A10" s="49"/>
      <c r="B10" s="54">
        <f>IF(AND(ISTEXT('Prijava ekipa i izvlačenje br.'!C10)=TRUE,ISNUMBER(F10)=FALSE,COUNTIF('Prijava ekipa i izvlačenje br.'!E10:'Prijava ekipa i izvlačenje br.'!Q10,"D")=0),COUNTA(D$2:D$13)-COUNTIF(D$2:D$13,"")+1,IF(AND(ISNUMBER(F10)=TRUE,ISNUMBER(J10)=TRUE),((COUNT(F$2:F$13)+1-RANK(F10,$F$2:$F$13,0)-RANK(F10,$F$2:$F$13,1))/2)+RANK(F10,$F$2:$F$13,0)+1,IF(ISNUMBER(F10)=TRUE,((COUNT(F$2:F$13)+1-RANK(F10,$F$2:$F$13,0)-RANK(F10,$F$2:$F$13,1))/2)+RANK(F10,$F$2:$F$13,0),"")))</f>
        <v>4</v>
      </c>
      <c r="C10" s="55">
        <f>IF(AND(ISNUMBER('Prijava ekipa i izvlačenje br.'!A10)=TRUE,COUNTIF(E10,"")=0),'Prijava ekipa i izvlačenje br.'!A10,IF(AND(ISNUMBER('Prijava ekipa i izvlačenje br.'!F10)=TRUE,COUNTIF('Prijava ekipa i izvlačenje br.'!$E10,"D")=1),'Prijava ekipa i izvlačenje br.'!F10,IF(AND(ISNUMBER('Prijava ekipa i izvlačenje br.'!I10)=TRUE,COUNTIF('Prijava ekipa i izvlačenje br.'!$H10,"D")=1),'Prijava ekipa i izvlačenje br.'!I10,IF(AND(ISNUMBER('Prijava ekipa i izvlačenje br.'!L10)=TRUE,COUNTIF('Prijava ekipa i izvlačenje br.'!$K10,"D")=1),'Prijava ekipa i izvlačenje br.'!L10,IF(AND(ISNUMBER('Prijava ekipa i izvlačenje br.'!O10)=TRUE,COUNTIF('Prijava ekipa i izvlačenje br.'!$N10,"D")=1),'Prijava ekipa i izvlačenje br.'!O10,IF(AND(ISNUMBER('Prijava ekipa i izvlačenje br.'!R10)=TRUE,COUNTIF('Prijava ekipa i izvlačenje br.'!$Q10,"D")=1),'Prijava ekipa i izvlačenje br.'!R10,""))))))</f>
        <v>9</v>
      </c>
      <c r="D10" s="8" t="str">
        <f>IF(ISBLANK('Prijava ekipa i izvlačenje br.'!C10)=TRUE,"",'Prijava ekipa i izvlačenje br.'!C10)</f>
        <v>Bjelka GME Sunja</v>
      </c>
      <c r="E10" s="8" t="str">
        <f>IF(COUNTIF('Prijava ekipa i izvlačenje br.'!$E10,"D")=1,'Prijava ekipa i izvlačenje br.'!$D10,IF(COUNTIF('Prijava ekipa i izvlačenje br.'!$H10,"D")=1,'Prijava ekipa i izvlačenje br.'!$G10,IF(COUNTIF('Prijava ekipa i izvlačenje br.'!$K10,"D")=1,'Prijava ekipa i izvlačenje br.'!$J10,IF(COUNTIF('Prijava ekipa i izvlačenje br.'!$N10,"D")=1,'Prijava ekipa i izvlačenje br.'!$M10,IF(COUNTIF('Prijava ekipa i izvlačenje br.'!$Q10,"D")=1,'Prijava ekipa i izvlačenje br.'!$P10,"")))))</f>
        <v>Zdravko Vrbanek</v>
      </c>
      <c r="F10" s="422">
        <v>1790</v>
      </c>
      <c r="G10" s="53">
        <f>VLOOKUP(D10,'Upis rezultata A sektora'!$D$2:$M$13,9,0)</f>
        <v>44</v>
      </c>
      <c r="H10" s="53">
        <f t="shared" si="0"/>
        <v>4</v>
      </c>
      <c r="I10" s="53">
        <f t="shared" si="1"/>
        <v>9</v>
      </c>
      <c r="J10" s="422"/>
      <c r="K10" s="460"/>
    </row>
    <row r="11" spans="1:11" ht="12.75">
      <c r="A11" s="49"/>
      <c r="B11" s="54">
        <f>IF(AND(ISTEXT('Prijava ekipa i izvlačenje br.'!C11)=TRUE,ISNUMBER(F11)=FALSE,COUNTIF('Prijava ekipa i izvlačenje br.'!E11:'Prijava ekipa i izvlačenje br.'!Q11,"D")=0),COUNTA(D$2:D$13)-COUNTIF(D$2:D$13,"")+1,IF(AND(ISNUMBER(F11)=TRUE,ISNUMBER(J11)=TRUE),((COUNT(F$2:F$13)+1-RANK(F11,$F$2:$F$13,0)-RANK(F11,$F$2:$F$13,1))/2)+RANK(F11,$F$2:$F$13,0)+1,IF(ISNUMBER(F11)=TRUE,((COUNT(F$2:F$13)+1-RANK(F11,$F$2:$F$13,0)-RANK(F11,$F$2:$F$13,1))/2)+RANK(F11,$F$2:$F$13,0),"")))</f>
        <v>5.5</v>
      </c>
      <c r="C11" s="55">
        <f>IF(AND(ISNUMBER('Prijava ekipa i izvlačenje br.'!A11)=TRUE,COUNTIF(E11,"")=0),'Prijava ekipa i izvlačenje br.'!A11,IF(AND(ISNUMBER('Prijava ekipa i izvlačenje br.'!F11)=TRUE,COUNTIF('Prijava ekipa i izvlačenje br.'!$E11,"D")=1),'Prijava ekipa i izvlačenje br.'!F11,IF(AND(ISNUMBER('Prijava ekipa i izvlačenje br.'!I11)=TRUE,COUNTIF('Prijava ekipa i izvlačenje br.'!$H11,"D")=1),'Prijava ekipa i izvlačenje br.'!I11,IF(AND(ISNUMBER('Prijava ekipa i izvlačenje br.'!L11)=TRUE,COUNTIF('Prijava ekipa i izvlačenje br.'!$K11,"D")=1),'Prijava ekipa i izvlačenje br.'!L11,IF(AND(ISNUMBER('Prijava ekipa i izvlačenje br.'!O11)=TRUE,COUNTIF('Prijava ekipa i izvlačenje br.'!$N11,"D")=1),'Prijava ekipa i izvlačenje br.'!O11,IF(AND(ISNUMBER('Prijava ekipa i izvlačenje br.'!R11)=TRUE,COUNTIF('Prijava ekipa i izvlačenje br.'!$Q11,"D")=1),'Prijava ekipa i izvlačenje br.'!R11,""))))))</f>
        <v>10</v>
      </c>
      <c r="D11" s="8" t="str">
        <f>IF(ISBLANK('Prijava ekipa i izvlačenje br.'!C11)=TRUE,"",'Prijava ekipa i izvlačenje br.'!C11)</f>
        <v>TPK Zagreb</v>
      </c>
      <c r="E11" s="8" t="str">
        <f>IF(COUNTIF('Prijava ekipa i izvlačenje br.'!$E11,"D")=1,'Prijava ekipa i izvlačenje br.'!$D11,IF(COUNTIF('Prijava ekipa i izvlačenje br.'!$H11,"D")=1,'Prijava ekipa i izvlačenje br.'!$G11,IF(COUNTIF('Prijava ekipa i izvlačenje br.'!$K11,"D")=1,'Prijava ekipa i izvlačenje br.'!$J11,IF(COUNTIF('Prijava ekipa i izvlačenje br.'!$N11,"D")=1,'Prijava ekipa i izvlačenje br.'!$M11,IF(COUNTIF('Prijava ekipa i izvlačenje br.'!$Q11,"D")=1,'Prijava ekipa i izvlačenje br.'!$P11,"")))))</f>
        <v>Zlatko Kraljević</v>
      </c>
      <c r="F11" s="422">
        <v>1765</v>
      </c>
      <c r="G11" s="53">
        <f>VLOOKUP(D11,'Upis rezultata A sektora'!$D$2:$M$13,9,0)</f>
        <v>49</v>
      </c>
      <c r="H11" s="53">
        <f t="shared" si="0"/>
        <v>5.5</v>
      </c>
      <c r="I11" s="53">
        <f t="shared" si="1"/>
        <v>10</v>
      </c>
      <c r="J11" s="422"/>
      <c r="K11" s="460"/>
    </row>
    <row r="12" spans="1:11" ht="12.75">
      <c r="A12" s="49"/>
      <c r="B12" s="54">
        <f>IF(AND(ISTEXT('Prijava ekipa i izvlačenje br.'!C12)=TRUE,ISNUMBER(F12)=FALSE,COUNTIF('Prijava ekipa i izvlačenje br.'!E12:'Prijava ekipa i izvlačenje br.'!Q12,"D")=0),COUNTA(D$2:D$13)-COUNTIF(D$2:D$13,"")+1,IF(AND(ISNUMBER(F12)=TRUE,ISNUMBER(J12)=TRUE),((COUNT(F$2:F$13)+1-RANK(F12,$F$2:$F$13,0)-RANK(F12,$F$2:$F$13,1))/2)+RANK(F12,$F$2:$F$13,0)+1,IF(ISNUMBER(F12)=TRUE,((COUNT(F$2:F$13)+1-RANK(F12,$F$2:$F$13,0)-RANK(F12,$F$2:$F$13,1))/2)+RANK(F12,$F$2:$F$13,0),"")))</f>
        <v>5.5</v>
      </c>
      <c r="C12" s="55">
        <f>IF(AND(ISNUMBER('Prijava ekipa i izvlačenje br.'!A12)=TRUE,COUNTIF(E12,"")=0),'Prijava ekipa i izvlačenje br.'!A12,IF(AND(ISNUMBER('Prijava ekipa i izvlačenje br.'!F12)=TRUE,COUNTIF('Prijava ekipa i izvlačenje br.'!$E12,"D")=1),'Prijava ekipa i izvlačenje br.'!F12,IF(AND(ISNUMBER('Prijava ekipa i izvlačenje br.'!I12)=TRUE,COUNTIF('Prijava ekipa i izvlačenje br.'!$H12,"D")=1),'Prijava ekipa i izvlačenje br.'!I12,IF(AND(ISNUMBER('Prijava ekipa i izvlačenje br.'!L12)=TRUE,COUNTIF('Prijava ekipa i izvlačenje br.'!$K12,"D")=1),'Prijava ekipa i izvlačenje br.'!L12,IF(AND(ISNUMBER('Prijava ekipa i izvlačenje br.'!O12)=TRUE,COUNTIF('Prijava ekipa i izvlačenje br.'!$N12,"D")=1),'Prijava ekipa i izvlačenje br.'!O12,IF(AND(ISNUMBER('Prijava ekipa i izvlačenje br.'!R12)=TRUE,COUNTIF('Prijava ekipa i izvlačenje br.'!$Q12,"D")=1),'Prijava ekipa i izvlačenje br.'!R12,""))))))</f>
        <v>11</v>
      </c>
      <c r="D12" s="8" t="str">
        <f>IF(ISBLANK('Prijava ekipa i izvlačenje br.'!C12)=TRUE,"",'Prijava ekipa i izvlačenje br.'!C12)</f>
        <v>Ilova Garešnica</v>
      </c>
      <c r="E12" s="8" t="str">
        <f>IF(COUNTIF('Prijava ekipa i izvlačenje br.'!$E12,"D")=1,'Prijava ekipa i izvlačenje br.'!$D12,IF(COUNTIF('Prijava ekipa i izvlačenje br.'!$H12,"D")=1,'Prijava ekipa i izvlačenje br.'!$G12,IF(COUNTIF('Prijava ekipa i izvlačenje br.'!$K12,"D")=1,'Prijava ekipa i izvlačenje br.'!$J12,IF(COUNTIF('Prijava ekipa i izvlačenje br.'!$N12,"D")=1,'Prijava ekipa i izvlačenje br.'!$M12,IF(COUNTIF('Prijava ekipa i izvlačenje br.'!$Q12,"D")=1,'Prijava ekipa i izvlačenje br.'!$P12,"")))))</f>
        <v>Bengez Dražen</v>
      </c>
      <c r="F12" s="422">
        <v>1765</v>
      </c>
      <c r="G12" s="53">
        <f>VLOOKUP(D12,'Upis rezultata A sektora'!$D$2:$M$13,9,0)</f>
        <v>54</v>
      </c>
      <c r="H12" s="53">
        <f t="shared" si="0"/>
        <v>5.5</v>
      </c>
      <c r="I12" s="53">
        <f t="shared" si="1"/>
        <v>11</v>
      </c>
      <c r="J12" s="422"/>
      <c r="K12" s="460"/>
    </row>
    <row r="13" spans="1:11" ht="13.5" thickBot="1">
      <c r="A13" s="431"/>
      <c r="B13" s="425">
        <f>IF(AND(ISTEXT('Prijava ekipa i izvlačenje br.'!C13)=TRUE,ISNUMBER(F13)=FALSE,COUNTIF('Prijava ekipa i izvlačenje br.'!E13:'Prijava ekipa i izvlačenje br.'!Q13,"D")=0),COUNTA(D$2:D$13)-COUNTIF(D$2:D$13,"")+1,IF(AND(ISNUMBER(F13)=TRUE,ISNUMBER(J13)=TRUE),((COUNT(F$2:F$13)+1-RANK(F13,$F$2:$F$13,0)-RANK(F13,$F$2:$F$13,1))/2)+RANK(F13,$F$2:$F$13,0)+1,IF(ISNUMBER(F13)=TRUE,((COUNT(F$2:F$13)+1-RANK(F13,$F$2:$F$13,0)-RANK(F13,$F$2:$F$13,1))/2)+RANK(F13,$F$2:$F$13,0),"")))</f>
        <v>3</v>
      </c>
      <c r="C13" s="426">
        <f>IF(AND(ISNUMBER('Prijava ekipa i izvlačenje br.'!A13)=TRUE,COUNTIF(E13,"")=0),'Prijava ekipa i izvlačenje br.'!A13,IF(AND(ISNUMBER('Prijava ekipa i izvlačenje br.'!F13)=TRUE,COUNTIF('Prijava ekipa i izvlačenje br.'!$E13,"D")=1),'Prijava ekipa i izvlačenje br.'!F13,IF(AND(ISNUMBER('Prijava ekipa i izvlačenje br.'!I13)=TRUE,COUNTIF('Prijava ekipa i izvlačenje br.'!$H13,"D")=1),'Prijava ekipa i izvlačenje br.'!I13,IF(AND(ISNUMBER('Prijava ekipa i izvlačenje br.'!L13)=TRUE,COUNTIF('Prijava ekipa i izvlačenje br.'!$K13,"D")=1),'Prijava ekipa i izvlačenje br.'!L13,IF(AND(ISNUMBER('Prijava ekipa i izvlačenje br.'!O13)=TRUE,COUNTIF('Prijava ekipa i izvlačenje br.'!$N13,"D")=1),'Prijava ekipa i izvlačenje br.'!O13,IF(AND(ISNUMBER('Prijava ekipa i izvlačenje br.'!R13)=TRUE,COUNTIF('Prijava ekipa i izvlačenje br.'!$Q13,"D")=1),'Prijava ekipa i izvlačenje br.'!R13,""))))))</f>
        <v>12</v>
      </c>
      <c r="D13" s="433" t="str">
        <f>IF(ISBLANK('Prijava ekipa i izvlačenje br.'!C13)=TRUE,"",'Prijava ekipa i izvlačenje br.'!C13)</f>
        <v>Jez Jasenovac</v>
      </c>
      <c r="E13" s="433" t="str">
        <f>IF(COUNTIF('Prijava ekipa i izvlačenje br.'!$E13,"D")=1,'Prijava ekipa i izvlačenje br.'!$D13,IF(COUNTIF('Prijava ekipa i izvlačenje br.'!$H13,"D")=1,'Prijava ekipa i izvlačenje br.'!$G13,IF(COUNTIF('Prijava ekipa i izvlačenje br.'!$K13,"D")=1,'Prijava ekipa i izvlačenje br.'!$J13,IF(COUNTIF('Prijava ekipa i izvlačenje br.'!$N13,"D")=1,'Prijava ekipa i izvlačenje br.'!$M13,IF(COUNTIF('Prijava ekipa i izvlačenje br.'!$Q13,"D")=1,'Prijava ekipa i izvlačenje br.'!$P13,"")))))</f>
        <v>Mario Akmačić</v>
      </c>
      <c r="F13" s="428">
        <v>2970</v>
      </c>
      <c r="G13" s="434">
        <f>VLOOKUP(D13,'Upis rezultata A sektora'!$D$2:$M$13,9,0)</f>
        <v>59</v>
      </c>
      <c r="H13" s="434">
        <f t="shared" si="0"/>
        <v>3</v>
      </c>
      <c r="I13" s="434">
        <f t="shared" si="1"/>
        <v>12</v>
      </c>
      <c r="J13" s="428"/>
      <c r="K13" s="460"/>
    </row>
  </sheetData>
  <sheetProtection password="C7E2" sheet="1" objects="1" scenarios="1"/>
  <printOptions/>
  <pageMargins left="0.75" right="0.75" top="1" bottom="1" header="0.5" footer="0.5"/>
  <pageSetup horizontalDpi="360" verticalDpi="360" orientation="portrait" paperSize="9" r:id="rId3"/>
  <headerFooter alignWithMargins="0">
    <oddFooter>&amp;C&amp;"Arial,Kurziv"&amp;11&amp;XProgram za izračun rezultata i provođenje natjecanja</oddFooter>
  </headerFooter>
  <legacyDrawing r:id="rId2"/>
</worksheet>
</file>

<file path=xl/worksheets/sheet14.xml><?xml version="1.0" encoding="utf-8"?>
<worksheet xmlns="http://schemas.openxmlformats.org/spreadsheetml/2006/main" xmlns:r="http://schemas.openxmlformats.org/officeDocument/2006/relationships">
  <sheetPr codeName="Sheet17">
    <tabColor indexed="10"/>
  </sheetPr>
  <dimension ref="A1:M13"/>
  <sheetViews>
    <sheetView showRowColHeaders="0" zoomScalePageLayoutView="0" workbookViewId="0" topLeftCell="A1">
      <selection activeCell="F21" sqref="F21"/>
    </sheetView>
  </sheetViews>
  <sheetFormatPr defaultColWidth="9.140625" defaultRowHeight="12.75"/>
  <cols>
    <col min="1" max="1" width="9.140625" style="444" customWidth="1"/>
    <col min="2" max="2" width="9.140625" style="452" customWidth="1"/>
    <col min="3" max="3" width="9.140625" style="459" customWidth="1"/>
    <col min="4" max="4" width="20.140625" style="459" customWidth="1"/>
    <col min="5" max="5" width="18.57421875" style="444" customWidth="1"/>
    <col min="6" max="6" width="9.140625" style="444" customWidth="1"/>
    <col min="7" max="7" width="0" style="459" hidden="1" customWidth="1"/>
    <col min="8" max="9" width="0" style="461" hidden="1" customWidth="1"/>
    <col min="10" max="16384" width="9.140625" style="444" customWidth="1"/>
  </cols>
  <sheetData>
    <row r="1" spans="1:13" ht="255">
      <c r="A1" s="196"/>
      <c r="B1" s="146" t="s">
        <v>82</v>
      </c>
      <c r="C1" s="146" t="s">
        <v>23</v>
      </c>
      <c r="D1" s="140" t="s">
        <v>21</v>
      </c>
      <c r="E1" s="140" t="s">
        <v>83</v>
      </c>
      <c r="F1" s="195" t="s">
        <v>84</v>
      </c>
      <c r="G1" s="419" t="s">
        <v>23</v>
      </c>
      <c r="H1" s="419" t="str">
        <f>B1</f>
        <v>Sektorski plasman</v>
      </c>
      <c r="I1" s="419" t="s">
        <v>210</v>
      </c>
      <c r="J1" s="145" t="s">
        <v>220</v>
      </c>
      <c r="K1" s="456"/>
      <c r="L1" s="449"/>
      <c r="M1" s="449"/>
    </row>
    <row r="2" spans="1:11" ht="12.75">
      <c r="A2" s="49"/>
      <c r="B2" s="54">
        <f>IF(AND(ISTEXT('Prijava ekipa i izvlačenje br.'!C2)=TRUE,ISNUMBER(F2)=FALSE,COUNTIF('Prijava ekipa i izvlačenje br.'!E2:'Prijava ekipa i izvlačenje br.'!Q2,"E")=0),COUNTA(D$2:D$13)-COUNTIF(D$2:D$13,"")+1,IF(AND(ISNUMBER(F2)=TRUE,ISNUMBER(J2)=TRUE),((COUNT(F$2:F$13)+1-RANK(F2,$F$2:$F$13,0)-RANK(F2,$F$2:$F$13,1))/2)+RANK(F2,$F$2:$F$13,0)+1,IF(ISNUMBER(F2)=TRUE,((COUNT(F$2:F$13)+1-RANK(F2,$F$2:$F$13,0)-RANK(F2,$F$2:$F$13,1))/2)+RANK(F2,$F$2:$F$13,0),"")))</f>
        <v>1</v>
      </c>
      <c r="C2" s="55">
        <f>IF(AND(ISNUMBER('Prijava ekipa i izvlačenje br.'!A2)=TRUE,COUNTIF(E2,"")=0),'Prijava ekipa i izvlačenje br.'!A2,IF(AND(ISNUMBER('Prijava ekipa i izvlačenje br.'!F2)=TRUE,COUNTIF('Prijava ekipa i izvlačenje br.'!$E2,"E")=1),'Prijava ekipa i izvlačenje br.'!F2,IF(AND(ISNUMBER('Prijava ekipa i izvlačenje br.'!I2)=TRUE,COUNTIF('Prijava ekipa i izvlačenje br.'!$H2,"E")=1),'Prijava ekipa i izvlačenje br.'!I2,IF(AND(ISNUMBER('Prijava ekipa i izvlačenje br.'!L2)=TRUE,COUNTIF('Prijava ekipa i izvlačenje br.'!$K2,"E")=1),'Prijava ekipa i izvlačenje br.'!L2,IF(AND(ISNUMBER('Prijava ekipa i izvlačenje br.'!O2)=TRUE,COUNTIF('Prijava ekipa i izvlačenje br.'!$N2,"E")=1),'Prijava ekipa i izvlačenje br.'!O2,IF(AND(ISNUMBER('Prijava ekipa i izvlačenje br.'!R2)=TRUE,COUNTIF('Prijava ekipa i izvlačenje br.'!$Q2,"E")=1),'Prijava ekipa i izvlačenje br.'!R2,""))))))</f>
        <v>1</v>
      </c>
      <c r="D2" s="8" t="str">
        <f>IF(ISBLANK('Prijava ekipa i izvlačenje br.'!C2)=TRUE,"",'Prijava ekipa i izvlačenje br.'!C2)</f>
        <v>Korana Karlovac</v>
      </c>
      <c r="E2" s="8" t="str">
        <f>IF(COUNTIF('Prijava ekipa i izvlačenje br.'!$E2,"E")=1,'Prijava ekipa i izvlačenje br.'!$D2,IF(COUNTIF('Prijava ekipa i izvlačenje br.'!$H2,"E")=1,'Prijava ekipa i izvlačenje br.'!$G2,IF(COUNTIF('Prijava ekipa i izvlačenje br.'!$K2,"E")=1,'Prijava ekipa i izvlačenje br.'!$J2,IF(COUNTIF('Prijava ekipa i izvlačenje br.'!$N2,"E")=1,'Prijava ekipa i izvlačenje br.'!$M2,IF(COUNTIF('Prijava ekipa i izvlačenje br.'!$Q2,"E")=1,'Prijava ekipa i izvlačenje br.'!$P2,"")))))</f>
        <v>Ivan Kovač</v>
      </c>
      <c r="F2" s="422">
        <v>5000</v>
      </c>
      <c r="G2" s="53">
        <f>VLOOKUP(D2,'Upis rezultata A sektora'!$D$2:$M$13,10,0)</f>
        <v>5</v>
      </c>
      <c r="H2" s="435">
        <f>B2</f>
        <v>1</v>
      </c>
      <c r="I2" s="435">
        <f>C2</f>
        <v>1</v>
      </c>
      <c r="J2" s="422"/>
      <c r="K2" s="460"/>
    </row>
    <row r="3" spans="1:11" ht="12.75">
      <c r="A3" s="49"/>
      <c r="B3" s="54">
        <f>IF(AND(ISTEXT('Prijava ekipa i izvlačenje br.'!C3)=TRUE,ISNUMBER(F3)=FALSE,COUNTIF('Prijava ekipa i izvlačenje br.'!E3:'Prijava ekipa i izvlačenje br.'!Q3,"E")=0),COUNTA(D$2:D$13)-COUNTIF(D$2:D$13,"")+1,IF(AND(ISNUMBER(F3)=TRUE,ISNUMBER(J3)=TRUE),((COUNT(F$2:F$13)+1-RANK(F3,$F$2:$F$13,0)-RANK(F3,$F$2:$F$13,1))/2)+RANK(F3,$F$2:$F$13,0)+1,IF(ISNUMBER(F3)=TRUE,((COUNT(F$2:F$13)+1-RANK(F3,$F$2:$F$13,0)-RANK(F3,$F$2:$F$13,1))/2)+RANK(F3,$F$2:$F$13,0),"")))</f>
        <v>12</v>
      </c>
      <c r="C3" s="55">
        <f>IF(AND(ISNUMBER('Prijava ekipa i izvlačenje br.'!A3)=TRUE,COUNTIF(E3,"")=0),'Prijava ekipa i izvlačenje br.'!A3,IF(AND(ISNUMBER('Prijava ekipa i izvlačenje br.'!F3)=TRUE,COUNTIF('Prijava ekipa i izvlačenje br.'!$E3,"E")=1),'Prijava ekipa i izvlačenje br.'!F3,IF(AND(ISNUMBER('Prijava ekipa i izvlačenje br.'!I3)=TRUE,COUNTIF('Prijava ekipa i izvlačenje br.'!$H3,"E")=1),'Prijava ekipa i izvlačenje br.'!I3,IF(AND(ISNUMBER('Prijava ekipa i izvlačenje br.'!L3)=TRUE,COUNTIF('Prijava ekipa i izvlačenje br.'!$K3,"E")=1),'Prijava ekipa i izvlačenje br.'!L3,IF(AND(ISNUMBER('Prijava ekipa i izvlačenje br.'!O3)=TRUE,COUNTIF('Prijava ekipa i izvlačenje br.'!$N3,"E")=1),'Prijava ekipa i izvlačenje br.'!O3,IF(AND(ISNUMBER('Prijava ekipa i izvlačenje br.'!R3)=TRUE,COUNTIF('Prijava ekipa i izvlačenje br.'!$Q3,"E")=1),'Prijava ekipa i izvlačenje br.'!R3,""))))))</f>
        <v>2</v>
      </c>
      <c r="D3" s="8" t="str">
        <f>IF(ISBLANK('Prijava ekipa i izvlačenje br.'!C3)=TRUE,"",'Prijava ekipa i izvlačenje br.'!C3)</f>
        <v>Štuka Torčec</v>
      </c>
      <c r="E3" s="8" t="str">
        <f>IF(COUNTIF('Prijava ekipa i izvlačenje br.'!$E3,"E")=1,'Prijava ekipa i izvlačenje br.'!$D3,IF(COUNTIF('Prijava ekipa i izvlačenje br.'!$H3,"E")=1,'Prijava ekipa i izvlačenje br.'!$G3,IF(COUNTIF('Prijava ekipa i izvlačenje br.'!$K3,"E")=1,'Prijava ekipa i izvlačenje br.'!$J3,IF(COUNTIF('Prijava ekipa i izvlačenje br.'!$N3,"E")=1,'Prijava ekipa i izvlačenje br.'!$M3,IF(COUNTIF('Prijava ekipa i izvlačenje br.'!$Q3,"E")=1,'Prijava ekipa i izvlačenje br.'!$P3,"")))))</f>
        <v>Saša Mustač</v>
      </c>
      <c r="F3" s="422">
        <v>1045</v>
      </c>
      <c r="G3" s="53">
        <f>VLOOKUP(D3,'Upis rezultata A sektora'!$D$2:$M$13,10,0)</f>
        <v>10</v>
      </c>
      <c r="H3" s="435">
        <f aca="true" t="shared" si="0" ref="H3:H13">B3</f>
        <v>12</v>
      </c>
      <c r="I3" s="435">
        <f aca="true" t="shared" si="1" ref="I3:I13">C3</f>
        <v>2</v>
      </c>
      <c r="J3" s="422"/>
      <c r="K3" s="460"/>
    </row>
    <row r="4" spans="1:11" ht="12.75">
      <c r="A4" s="49"/>
      <c r="B4" s="54">
        <f>IF(AND(ISTEXT('Prijava ekipa i izvlačenje br.'!C4)=TRUE,ISNUMBER(F4)=FALSE,COUNTIF('Prijava ekipa i izvlačenje br.'!E4:'Prijava ekipa i izvlačenje br.'!Q4,"E")=0),COUNTA(D$2:D$13)-COUNTIF(D$2:D$13,"")+1,IF(AND(ISNUMBER(F4)=TRUE,ISNUMBER(J4)=TRUE),((COUNT(F$2:F$13)+1-RANK(F4,$F$2:$F$13,0)-RANK(F4,$F$2:$F$13,1))/2)+RANK(F4,$F$2:$F$13,0)+1,IF(ISNUMBER(F4)=TRUE,((COUNT(F$2:F$13)+1-RANK(F4,$F$2:$F$13,0)-RANK(F4,$F$2:$F$13,1))/2)+RANK(F4,$F$2:$F$13,0),"")))</f>
        <v>10.5</v>
      </c>
      <c r="C4" s="55">
        <f>IF(AND(ISNUMBER('Prijava ekipa i izvlačenje br.'!A4)=TRUE,COUNTIF(E4,"")=0),'Prijava ekipa i izvlačenje br.'!A4,IF(AND(ISNUMBER('Prijava ekipa i izvlačenje br.'!F4)=TRUE,COUNTIF('Prijava ekipa i izvlačenje br.'!$E4,"E")=1),'Prijava ekipa i izvlačenje br.'!F4,IF(AND(ISNUMBER('Prijava ekipa i izvlačenje br.'!I4)=TRUE,COUNTIF('Prijava ekipa i izvlačenje br.'!$H4,"E")=1),'Prijava ekipa i izvlačenje br.'!I4,IF(AND(ISNUMBER('Prijava ekipa i izvlačenje br.'!L4)=TRUE,COUNTIF('Prijava ekipa i izvlačenje br.'!$K4,"E")=1),'Prijava ekipa i izvlačenje br.'!L4,IF(AND(ISNUMBER('Prijava ekipa i izvlačenje br.'!O4)=TRUE,COUNTIF('Prijava ekipa i izvlačenje br.'!$N4,"E")=1),'Prijava ekipa i izvlačenje br.'!O4,IF(AND(ISNUMBER('Prijava ekipa i izvlačenje br.'!R4)=TRUE,COUNTIF('Prijava ekipa i izvlačenje br.'!$Q4,"E")=1),'Prijava ekipa i izvlačenje br.'!R4,""))))))</f>
        <v>3</v>
      </c>
      <c r="D4" s="8" t="str">
        <f>IF(ISBLANK('Prijava ekipa i izvlačenje br.'!C4)=TRUE,"",'Prijava ekipa i izvlačenje br.'!C4)</f>
        <v>Rak Rakitje</v>
      </c>
      <c r="E4" s="8" t="str">
        <f>IF(COUNTIF('Prijava ekipa i izvlačenje br.'!$E4,"E")=1,'Prijava ekipa i izvlačenje br.'!$D4,IF(COUNTIF('Prijava ekipa i izvlačenje br.'!$H4,"E")=1,'Prijava ekipa i izvlačenje br.'!$G4,IF(COUNTIF('Prijava ekipa i izvlačenje br.'!$K4,"E")=1,'Prijava ekipa i izvlačenje br.'!$J4,IF(COUNTIF('Prijava ekipa i izvlačenje br.'!$N4,"E")=1,'Prijava ekipa i izvlačenje br.'!$M4,IF(COUNTIF('Prijava ekipa i izvlačenje br.'!$Q4,"E")=1,'Prijava ekipa i izvlačenje br.'!$P4,"")))))</f>
        <v>Zlatko Auker</v>
      </c>
      <c r="F4" s="422">
        <v>1256</v>
      </c>
      <c r="G4" s="53">
        <f>VLOOKUP(D4,'Upis rezultata A sektora'!$D$2:$M$13,10,0)</f>
        <v>15</v>
      </c>
      <c r="H4" s="435">
        <f t="shared" si="0"/>
        <v>10.5</v>
      </c>
      <c r="I4" s="435">
        <f t="shared" si="1"/>
        <v>3</v>
      </c>
      <c r="J4" s="422"/>
      <c r="K4" s="460"/>
    </row>
    <row r="5" spans="1:11" ht="12.75">
      <c r="A5" s="49"/>
      <c r="B5" s="54">
        <f>IF(AND(ISTEXT('Prijava ekipa i izvlačenje br.'!C5)=TRUE,ISNUMBER(F5)=FALSE,COUNTIF('Prijava ekipa i izvlačenje br.'!E5:'Prijava ekipa i izvlačenje br.'!Q5,"E")=0),COUNTA(D$2:D$13)-COUNTIF(D$2:D$13,"")+1,IF(AND(ISNUMBER(F5)=TRUE,ISNUMBER(J5)=TRUE),((COUNT(F$2:F$13)+1-RANK(F5,$F$2:$F$13,0)-RANK(F5,$F$2:$F$13,1))/2)+RANK(F5,$F$2:$F$13,0)+1,IF(ISNUMBER(F5)=TRUE,((COUNT(F$2:F$13)+1-RANK(F5,$F$2:$F$13,0)-RANK(F5,$F$2:$F$13,1))/2)+RANK(F5,$F$2:$F$13,0),"")))</f>
        <v>10.5</v>
      </c>
      <c r="C5" s="55">
        <f>IF(AND(ISNUMBER('Prijava ekipa i izvlačenje br.'!A5)=TRUE,COUNTIF(E5,"")=0),'Prijava ekipa i izvlačenje br.'!A5,IF(AND(ISNUMBER('Prijava ekipa i izvlačenje br.'!F5)=TRUE,COUNTIF('Prijava ekipa i izvlačenje br.'!$E5,"E")=1),'Prijava ekipa i izvlačenje br.'!F5,IF(AND(ISNUMBER('Prijava ekipa i izvlačenje br.'!I5)=TRUE,COUNTIF('Prijava ekipa i izvlačenje br.'!$H5,"E")=1),'Prijava ekipa i izvlačenje br.'!I5,IF(AND(ISNUMBER('Prijava ekipa i izvlačenje br.'!L5)=TRUE,COUNTIF('Prijava ekipa i izvlačenje br.'!$K5,"E")=1),'Prijava ekipa i izvlačenje br.'!L5,IF(AND(ISNUMBER('Prijava ekipa i izvlačenje br.'!O5)=TRUE,COUNTIF('Prijava ekipa i izvlačenje br.'!$N5,"E")=1),'Prijava ekipa i izvlačenje br.'!O5,IF(AND(ISNUMBER('Prijava ekipa i izvlačenje br.'!R5)=TRUE,COUNTIF('Prijava ekipa i izvlačenje br.'!$Q5,"E")=1),'Prijava ekipa i izvlačenje br.'!R5,""))))))</f>
        <v>4</v>
      </c>
      <c r="D5" s="8" t="str">
        <f>IF(ISBLANK('Prijava ekipa i izvlačenje br.'!C5)=TRUE,"",'Prijava ekipa i izvlačenje br.'!C5)</f>
        <v>Bjelovar Bjelovar</v>
      </c>
      <c r="E5" s="8" t="str">
        <f>IF(COUNTIF('Prijava ekipa i izvlačenje br.'!$E5,"E")=1,'Prijava ekipa i izvlačenje br.'!$D5,IF(COUNTIF('Prijava ekipa i izvlačenje br.'!$H5,"E")=1,'Prijava ekipa i izvlačenje br.'!$G5,IF(COUNTIF('Prijava ekipa i izvlačenje br.'!$K5,"E")=1,'Prijava ekipa i izvlačenje br.'!$J5,IF(COUNTIF('Prijava ekipa i izvlačenje br.'!$N5,"E")=1,'Prijava ekipa i izvlačenje br.'!$M5,IF(COUNTIF('Prijava ekipa i izvlačenje br.'!$Q5,"E")=1,'Prijava ekipa i izvlačenje br.'!$P5,"")))))</f>
        <v>Dražen Štajduhar</v>
      </c>
      <c r="F5" s="422">
        <v>1256</v>
      </c>
      <c r="G5" s="53">
        <f>VLOOKUP(D5,'Upis rezultata A sektora'!$D$2:$M$13,10,0)</f>
        <v>20</v>
      </c>
      <c r="H5" s="435">
        <f t="shared" si="0"/>
        <v>10.5</v>
      </c>
      <c r="I5" s="435">
        <f t="shared" si="1"/>
        <v>4</v>
      </c>
      <c r="J5" s="422"/>
      <c r="K5" s="460"/>
    </row>
    <row r="6" spans="1:11" ht="12.75">
      <c r="A6" s="49"/>
      <c r="B6" s="54">
        <f>IF(AND(ISTEXT('Prijava ekipa i izvlačenje br.'!C6)=TRUE,ISNUMBER(F6)=FALSE,COUNTIF('Prijava ekipa i izvlačenje br.'!E6:'Prijava ekipa i izvlačenje br.'!Q6,"E")=0),COUNTA(D$2:D$13)-COUNTIF(D$2:D$13,"")+1,IF(AND(ISNUMBER(F6)=TRUE,ISNUMBER(J6)=TRUE),((COUNT(F$2:F$13)+1-RANK(F6,$F$2:$F$13,0)-RANK(F6,$F$2:$F$13,1))/2)+RANK(F6,$F$2:$F$13,0)+1,IF(ISNUMBER(F6)=TRUE,((COUNT(F$2:F$13)+1-RANK(F6,$F$2:$F$13,0)-RANK(F6,$F$2:$F$13,1))/2)+RANK(F6,$F$2:$F$13,0),"")))</f>
        <v>8.5</v>
      </c>
      <c r="C6" s="55">
        <f>IF(AND(ISNUMBER('Prijava ekipa i izvlačenje br.'!A6)=TRUE,COUNTIF(E6,"")=0),'Prijava ekipa i izvlačenje br.'!A6,IF(AND(ISNUMBER('Prijava ekipa i izvlačenje br.'!F6)=TRUE,COUNTIF('Prijava ekipa i izvlačenje br.'!$E6,"E")=1),'Prijava ekipa i izvlačenje br.'!F6,IF(AND(ISNUMBER('Prijava ekipa i izvlačenje br.'!I6)=TRUE,COUNTIF('Prijava ekipa i izvlačenje br.'!$H6,"E")=1),'Prijava ekipa i izvlačenje br.'!I6,IF(AND(ISNUMBER('Prijava ekipa i izvlačenje br.'!L6)=TRUE,COUNTIF('Prijava ekipa i izvlačenje br.'!$K6,"E")=1),'Prijava ekipa i izvlačenje br.'!L6,IF(AND(ISNUMBER('Prijava ekipa i izvlačenje br.'!O6)=TRUE,COUNTIF('Prijava ekipa i izvlačenje br.'!$N6,"E")=1),'Prijava ekipa i izvlačenje br.'!O6,IF(AND(ISNUMBER('Prijava ekipa i izvlačenje br.'!R6)=TRUE,COUNTIF('Prijava ekipa i izvlačenje br.'!$Q6,"E")=1),'Prijava ekipa i izvlačenje br.'!R6,""))))))</f>
        <v>5</v>
      </c>
      <c r="D6" s="8" t="str">
        <f>IF(ISBLANK('Prijava ekipa i izvlačenje br.'!C6)=TRUE,"",'Prijava ekipa i izvlačenje br.'!C6)</f>
        <v>Varaždin Varaždin</v>
      </c>
      <c r="E6" s="8" t="str">
        <f>IF(COUNTIF('Prijava ekipa i izvlačenje br.'!$E6,"E")=1,'Prijava ekipa i izvlačenje br.'!$D6,IF(COUNTIF('Prijava ekipa i izvlačenje br.'!$H6,"E")=1,'Prijava ekipa i izvlačenje br.'!$G6,IF(COUNTIF('Prijava ekipa i izvlačenje br.'!$K6,"E")=1,'Prijava ekipa i izvlačenje br.'!$J6,IF(COUNTIF('Prijava ekipa i izvlačenje br.'!$N6,"E")=1,'Prijava ekipa i izvlačenje br.'!$M6,IF(COUNTIF('Prijava ekipa i izvlačenje br.'!$Q6,"E")=1,'Prijava ekipa i izvlačenje br.'!$P6,"")))))</f>
        <v>Kristijan Kosmačin</v>
      </c>
      <c r="F6" s="422">
        <v>1325</v>
      </c>
      <c r="G6" s="53">
        <f>VLOOKUP(D6,'Upis rezultata A sektora'!$D$2:$M$13,10,0)</f>
        <v>25</v>
      </c>
      <c r="H6" s="435">
        <f t="shared" si="0"/>
        <v>8.5</v>
      </c>
      <c r="I6" s="435">
        <f t="shared" si="1"/>
        <v>5</v>
      </c>
      <c r="J6" s="422"/>
      <c r="K6" s="460"/>
    </row>
    <row r="7" spans="1:11" ht="12.75">
      <c r="A7" s="49"/>
      <c r="B7" s="54">
        <f>IF(AND(ISTEXT('Prijava ekipa i izvlačenje br.'!C7)=TRUE,ISNUMBER(F7)=FALSE,COUNTIF('Prijava ekipa i izvlačenje br.'!E7:'Prijava ekipa i izvlačenje br.'!Q7,"E")=0),COUNTA(D$2:D$13)-COUNTIF(D$2:D$13,"")+1,IF(AND(ISNUMBER(F7)=TRUE,ISNUMBER(J7)=TRUE),((COUNT(F$2:F$13)+1-RANK(F7,$F$2:$F$13,0)-RANK(F7,$F$2:$F$13,1))/2)+RANK(F7,$F$2:$F$13,0)+1,IF(ISNUMBER(F7)=TRUE,((COUNT(F$2:F$13)+1-RANK(F7,$F$2:$F$13,0)-RANK(F7,$F$2:$F$13,1))/2)+RANK(F7,$F$2:$F$13,0),"")))</f>
        <v>8.5</v>
      </c>
      <c r="C7" s="55">
        <f>IF(AND(ISNUMBER('Prijava ekipa i izvlačenje br.'!A7)=TRUE,COUNTIF(E7,"")=0),'Prijava ekipa i izvlačenje br.'!A7,IF(AND(ISNUMBER('Prijava ekipa i izvlačenje br.'!F7)=TRUE,COUNTIF('Prijava ekipa i izvlačenje br.'!$E7,"E")=1),'Prijava ekipa i izvlačenje br.'!F7,IF(AND(ISNUMBER('Prijava ekipa i izvlačenje br.'!I7)=TRUE,COUNTIF('Prijava ekipa i izvlačenje br.'!$H7,"E")=1),'Prijava ekipa i izvlačenje br.'!I7,IF(AND(ISNUMBER('Prijava ekipa i izvlačenje br.'!L7)=TRUE,COUNTIF('Prijava ekipa i izvlačenje br.'!$K7,"E")=1),'Prijava ekipa i izvlačenje br.'!L7,IF(AND(ISNUMBER('Prijava ekipa i izvlačenje br.'!O7)=TRUE,COUNTIF('Prijava ekipa i izvlačenje br.'!$N7,"E")=1),'Prijava ekipa i izvlačenje br.'!O7,IF(AND(ISNUMBER('Prijava ekipa i izvlačenje br.'!R7)=TRUE,COUNTIF('Prijava ekipa i izvlačenje br.'!$Q7,"E")=1),'Prijava ekipa i izvlačenje br.'!R7,""))))))</f>
        <v>6</v>
      </c>
      <c r="D7" s="8" t="str">
        <f>IF(ISBLANK('Prijava ekipa i izvlačenje br.'!C7)=TRUE,"",'Prijava ekipa i izvlačenje br.'!C7)</f>
        <v>Azzuro Varaždin</v>
      </c>
      <c r="E7" s="8" t="str">
        <f>IF(COUNTIF('Prijava ekipa i izvlačenje br.'!$E7,"E")=1,'Prijava ekipa i izvlačenje br.'!$D7,IF(COUNTIF('Prijava ekipa i izvlačenje br.'!$H7,"E")=1,'Prijava ekipa i izvlačenje br.'!$G7,IF(COUNTIF('Prijava ekipa i izvlačenje br.'!$K7,"E")=1,'Prijava ekipa i izvlačenje br.'!$J7,IF(COUNTIF('Prijava ekipa i izvlačenje br.'!$N7,"E")=1,'Prijava ekipa i izvlačenje br.'!$M7,IF(COUNTIF('Prijava ekipa i izvlačenje br.'!$Q7,"E")=1,'Prijava ekipa i izvlačenje br.'!$P7,"")))))</f>
        <v>Davor Florijanić</v>
      </c>
      <c r="F7" s="422">
        <v>1325</v>
      </c>
      <c r="G7" s="53">
        <f>VLOOKUP(D7,'Upis rezultata A sektora'!$D$2:$M$13,10,0)</f>
        <v>30</v>
      </c>
      <c r="H7" s="435">
        <f t="shared" si="0"/>
        <v>8.5</v>
      </c>
      <c r="I7" s="435">
        <f t="shared" si="1"/>
        <v>6</v>
      </c>
      <c r="J7" s="422"/>
      <c r="K7" s="460"/>
    </row>
    <row r="8" spans="1:11" ht="12.75">
      <c r="A8" s="49"/>
      <c r="B8" s="54">
        <f>IF(AND(ISTEXT('Prijava ekipa i izvlačenje br.'!C8)=TRUE,ISNUMBER(F8)=FALSE,COUNTIF('Prijava ekipa i izvlačenje br.'!E8:'Prijava ekipa i izvlačenje br.'!Q8,"E")=0),COUNTA(D$2:D$13)-COUNTIF(D$2:D$13,"")+1,IF(AND(ISNUMBER(F8)=TRUE,ISNUMBER(J8)=TRUE),((COUNT(F$2:F$13)+1-RANK(F8,$F$2:$F$13,0)-RANK(F8,$F$2:$F$13,1))/2)+RANK(F8,$F$2:$F$13,0)+1,IF(ISNUMBER(F8)=TRUE,((COUNT(F$2:F$13)+1-RANK(F8,$F$2:$F$13,0)-RANK(F8,$F$2:$F$13,1))/2)+RANK(F8,$F$2:$F$13,0),"")))</f>
        <v>7</v>
      </c>
      <c r="C8" s="55">
        <f>IF(AND(ISNUMBER('Prijava ekipa i izvlačenje br.'!A8)=TRUE,COUNTIF(E8,"")=0),'Prijava ekipa i izvlačenje br.'!A8,IF(AND(ISNUMBER('Prijava ekipa i izvlačenje br.'!F8)=TRUE,COUNTIF('Prijava ekipa i izvlačenje br.'!$E8,"E")=1),'Prijava ekipa i izvlačenje br.'!F8,IF(AND(ISNUMBER('Prijava ekipa i izvlačenje br.'!I8)=TRUE,COUNTIF('Prijava ekipa i izvlačenje br.'!$H8,"E")=1),'Prijava ekipa i izvlačenje br.'!I8,IF(AND(ISNUMBER('Prijava ekipa i izvlačenje br.'!L8)=TRUE,COUNTIF('Prijava ekipa i izvlačenje br.'!$K8,"E")=1),'Prijava ekipa i izvlačenje br.'!L8,IF(AND(ISNUMBER('Prijava ekipa i izvlačenje br.'!O8)=TRUE,COUNTIF('Prijava ekipa i izvlačenje br.'!$N8,"E")=1),'Prijava ekipa i izvlačenje br.'!O8,IF(AND(ISNUMBER('Prijava ekipa i izvlačenje br.'!R8)=TRUE,COUNTIF('Prijava ekipa i izvlačenje br.'!$Q8,"E")=1),'Prijava ekipa i izvlačenje br.'!R8,""))))))</f>
        <v>7</v>
      </c>
      <c r="D8" s="8" t="str">
        <f>IF(ISBLANK('Prijava ekipa i izvlačenje br.'!C8)=TRUE,"",'Prijava ekipa i izvlačenje br.'!C8)</f>
        <v>Trnje-ŠR Zagreb</v>
      </c>
      <c r="E8" s="8" t="str">
        <f>IF(COUNTIF('Prijava ekipa i izvlačenje br.'!$E8,"E")=1,'Prijava ekipa i izvlačenje br.'!$D8,IF(COUNTIF('Prijava ekipa i izvlačenje br.'!$H8,"E")=1,'Prijava ekipa i izvlačenje br.'!$G8,IF(COUNTIF('Prijava ekipa i izvlačenje br.'!$K8,"E")=1,'Prijava ekipa i izvlačenje br.'!$J8,IF(COUNTIF('Prijava ekipa i izvlačenje br.'!$N8,"E")=1,'Prijava ekipa i izvlačenje br.'!$M8,IF(COUNTIF('Prijava ekipa i izvlačenje br.'!$Q8,"E")=1,'Prijava ekipa i izvlačenje br.'!$P8,"")))))</f>
        <v>Goran Abramović</v>
      </c>
      <c r="F8" s="422">
        <v>1354</v>
      </c>
      <c r="G8" s="53">
        <f>VLOOKUP(D8,'Upis rezultata A sektora'!$D$2:$M$13,10,0)</f>
        <v>35</v>
      </c>
      <c r="H8" s="435">
        <f t="shared" si="0"/>
        <v>7</v>
      </c>
      <c r="I8" s="435">
        <f t="shared" si="1"/>
        <v>7</v>
      </c>
      <c r="J8" s="422"/>
      <c r="K8" s="460"/>
    </row>
    <row r="9" spans="1:11" ht="12.75">
      <c r="A9" s="49"/>
      <c r="B9" s="54">
        <f>IF(AND(ISTEXT('Prijava ekipa i izvlačenje br.'!C9)=TRUE,ISNUMBER(F9)=FALSE,COUNTIF('Prijava ekipa i izvlačenje br.'!E9:'Prijava ekipa i izvlačenje br.'!Q9,"E")=0),COUNTA(D$2:D$13)-COUNTIF(D$2:D$13,"")+1,IF(AND(ISNUMBER(F9)=TRUE,ISNUMBER(J9)=TRUE),((COUNT(F$2:F$13)+1-RANK(F9,$F$2:$F$13,0)-RANK(F9,$F$2:$F$13,1))/2)+RANK(F9,$F$2:$F$13,0)+1,IF(ISNUMBER(F9)=TRUE,((COUNT(F$2:F$13)+1-RANK(F9,$F$2:$F$13,0)-RANK(F9,$F$2:$F$13,1))/2)+RANK(F9,$F$2:$F$13,0),"")))</f>
        <v>6</v>
      </c>
      <c r="C9" s="55">
        <f>IF(AND(ISNUMBER('Prijava ekipa i izvlačenje br.'!A9)=TRUE,COUNTIF(E9,"")=0),'Prijava ekipa i izvlačenje br.'!A9,IF(AND(ISNUMBER('Prijava ekipa i izvlačenje br.'!F9)=TRUE,COUNTIF('Prijava ekipa i izvlačenje br.'!$E9,"E")=1),'Prijava ekipa i izvlačenje br.'!F9,IF(AND(ISNUMBER('Prijava ekipa i izvlačenje br.'!I9)=TRUE,COUNTIF('Prijava ekipa i izvlačenje br.'!$H9,"E")=1),'Prijava ekipa i izvlačenje br.'!I9,IF(AND(ISNUMBER('Prijava ekipa i izvlačenje br.'!L9)=TRUE,COUNTIF('Prijava ekipa i izvlačenje br.'!$K9,"E")=1),'Prijava ekipa i izvlačenje br.'!L9,IF(AND(ISNUMBER('Prijava ekipa i izvlačenje br.'!O9)=TRUE,COUNTIF('Prijava ekipa i izvlačenje br.'!$N9,"E")=1),'Prijava ekipa i izvlačenje br.'!O9,IF(AND(ISNUMBER('Prijava ekipa i izvlačenje br.'!R9)=TRUE,COUNTIF('Prijava ekipa i izvlačenje br.'!$Q9,"E")=1),'Prijava ekipa i izvlačenje br.'!R9,""))))))</f>
        <v>8</v>
      </c>
      <c r="D9" s="8" t="str">
        <f>IF(ISBLANK('Prijava ekipa i izvlačenje br.'!C9)=TRUE,"",'Prijava ekipa i izvlačenje br.'!C9)</f>
        <v>Klen N.Gradiška</v>
      </c>
      <c r="E9" s="8" t="str">
        <f>IF(COUNTIF('Prijava ekipa i izvlačenje br.'!$E9,"E")=1,'Prijava ekipa i izvlačenje br.'!$D9,IF(COUNTIF('Prijava ekipa i izvlačenje br.'!$H9,"E")=1,'Prijava ekipa i izvlačenje br.'!$G9,IF(COUNTIF('Prijava ekipa i izvlačenje br.'!$K9,"E")=1,'Prijava ekipa i izvlačenje br.'!$J9,IF(COUNTIF('Prijava ekipa i izvlačenje br.'!$N9,"E")=1,'Prijava ekipa i izvlačenje br.'!$M9,IF(COUNTIF('Prijava ekipa i izvlačenje br.'!$Q9,"E")=1,'Prijava ekipa i izvlačenje br.'!$P9,"")))))</f>
        <v>Stiven Palijan</v>
      </c>
      <c r="F9" s="422">
        <v>1497</v>
      </c>
      <c r="G9" s="53">
        <f>VLOOKUP(D9,'Upis rezultata A sektora'!$D$2:$M$13,10,0)</f>
        <v>40</v>
      </c>
      <c r="H9" s="435">
        <f t="shared" si="0"/>
        <v>6</v>
      </c>
      <c r="I9" s="435">
        <f t="shared" si="1"/>
        <v>8</v>
      </c>
      <c r="J9" s="422"/>
      <c r="K9" s="460"/>
    </row>
    <row r="10" spans="1:11" ht="12.75">
      <c r="A10" s="49"/>
      <c r="B10" s="54">
        <f>IF(AND(ISTEXT('Prijava ekipa i izvlačenje br.'!C10)=TRUE,ISNUMBER(F10)=FALSE,COUNTIF('Prijava ekipa i izvlačenje br.'!E10:'Prijava ekipa i izvlačenje br.'!Q10,"E")=0),COUNTA(D$2:D$13)-COUNTIF(D$2:D$13,"")+1,IF(AND(ISNUMBER(F10)=TRUE,ISNUMBER(J10)=TRUE),((COUNT(F$2:F$13)+1-RANK(F10,$F$2:$F$13,0)-RANK(F10,$F$2:$F$13,1))/2)+RANK(F10,$F$2:$F$13,0)+1,IF(ISNUMBER(F10)=TRUE,((COUNT(F$2:F$13)+1-RANK(F10,$F$2:$F$13,0)-RANK(F10,$F$2:$F$13,1))/2)+RANK(F10,$F$2:$F$13,0),"")))</f>
        <v>5</v>
      </c>
      <c r="C10" s="55">
        <f>IF(AND(ISNUMBER('Prijava ekipa i izvlačenje br.'!A10)=TRUE,COUNTIF(E10,"")=0),'Prijava ekipa i izvlačenje br.'!A10,IF(AND(ISNUMBER('Prijava ekipa i izvlačenje br.'!F10)=TRUE,COUNTIF('Prijava ekipa i izvlačenje br.'!$E10,"E")=1),'Prijava ekipa i izvlačenje br.'!F10,IF(AND(ISNUMBER('Prijava ekipa i izvlačenje br.'!I10)=TRUE,COUNTIF('Prijava ekipa i izvlačenje br.'!$H10,"E")=1),'Prijava ekipa i izvlačenje br.'!I10,IF(AND(ISNUMBER('Prijava ekipa i izvlačenje br.'!L10)=TRUE,COUNTIF('Prijava ekipa i izvlačenje br.'!$K10,"E")=1),'Prijava ekipa i izvlačenje br.'!L10,IF(AND(ISNUMBER('Prijava ekipa i izvlačenje br.'!O10)=TRUE,COUNTIF('Prijava ekipa i izvlačenje br.'!$N10,"E")=1),'Prijava ekipa i izvlačenje br.'!O10,IF(AND(ISNUMBER('Prijava ekipa i izvlačenje br.'!R10)=TRUE,COUNTIF('Prijava ekipa i izvlačenje br.'!$Q10,"E")=1),'Prijava ekipa i izvlačenje br.'!R10,""))))))</f>
        <v>9</v>
      </c>
      <c r="D10" s="8" t="str">
        <f>IF(ISBLANK('Prijava ekipa i izvlačenje br.'!C10)=TRUE,"",'Prijava ekipa i izvlačenje br.'!C10)</f>
        <v>Bjelka GME Sunja</v>
      </c>
      <c r="E10" s="8" t="str">
        <f>IF(COUNTIF('Prijava ekipa i izvlačenje br.'!$E10,"E")=1,'Prijava ekipa i izvlačenje br.'!$D10,IF(COUNTIF('Prijava ekipa i izvlačenje br.'!$H10,"E")=1,'Prijava ekipa i izvlačenje br.'!$G10,IF(COUNTIF('Prijava ekipa i izvlačenje br.'!$K10,"E")=1,'Prijava ekipa i izvlačenje br.'!$J10,IF(COUNTIF('Prijava ekipa i izvlačenje br.'!$N10,"E")=1,'Prijava ekipa i izvlačenje br.'!$M10,IF(COUNTIF('Prijava ekipa i izvlačenje br.'!$Q10,"E")=1,'Prijava ekipa i izvlačenje br.'!$P10,"")))))</f>
        <v>Damir Jauševac</v>
      </c>
      <c r="F10" s="422">
        <v>1498</v>
      </c>
      <c r="G10" s="53">
        <f>VLOOKUP(D10,'Upis rezultata A sektora'!$D$2:$M$13,10,0)</f>
        <v>45</v>
      </c>
      <c r="H10" s="435">
        <f t="shared" si="0"/>
        <v>5</v>
      </c>
      <c r="I10" s="435">
        <f t="shared" si="1"/>
        <v>9</v>
      </c>
      <c r="J10" s="422"/>
      <c r="K10" s="460"/>
    </row>
    <row r="11" spans="1:11" ht="12.75">
      <c r="A11" s="49"/>
      <c r="B11" s="54">
        <f>IF(AND(ISTEXT('Prijava ekipa i izvlačenje br.'!C11)=TRUE,ISNUMBER(F11)=FALSE,COUNTIF('Prijava ekipa i izvlačenje br.'!E11:'Prijava ekipa i izvlačenje br.'!Q11,"E")=0),COUNTA(D$2:D$13)-COUNTIF(D$2:D$13,"")+1,IF(AND(ISNUMBER(F11)=TRUE,ISNUMBER(J11)=TRUE),((COUNT(F$2:F$13)+1-RANK(F11,$F$2:$F$13,0)-RANK(F11,$F$2:$F$13,1))/2)+RANK(F11,$F$2:$F$13,0)+1,IF(ISNUMBER(F11)=TRUE,((COUNT(F$2:F$13)+1-RANK(F11,$F$2:$F$13,0)-RANK(F11,$F$2:$F$13,1))/2)+RANK(F11,$F$2:$F$13,0),"")))</f>
        <v>3.5</v>
      </c>
      <c r="C11" s="55">
        <f>IF(AND(ISNUMBER('Prijava ekipa i izvlačenje br.'!A11)=TRUE,COUNTIF(E11,"")=0),'Prijava ekipa i izvlačenje br.'!A11,IF(AND(ISNUMBER('Prijava ekipa i izvlačenje br.'!F11)=TRUE,COUNTIF('Prijava ekipa i izvlačenje br.'!$E11,"E")=1),'Prijava ekipa i izvlačenje br.'!F11,IF(AND(ISNUMBER('Prijava ekipa i izvlačenje br.'!I11)=TRUE,COUNTIF('Prijava ekipa i izvlačenje br.'!$H11,"E")=1),'Prijava ekipa i izvlačenje br.'!I11,IF(AND(ISNUMBER('Prijava ekipa i izvlačenje br.'!L11)=TRUE,COUNTIF('Prijava ekipa i izvlačenje br.'!$K11,"E")=1),'Prijava ekipa i izvlačenje br.'!L11,IF(AND(ISNUMBER('Prijava ekipa i izvlačenje br.'!O11)=TRUE,COUNTIF('Prijava ekipa i izvlačenje br.'!$N11,"E")=1),'Prijava ekipa i izvlačenje br.'!O11,IF(AND(ISNUMBER('Prijava ekipa i izvlačenje br.'!R11)=TRUE,COUNTIF('Prijava ekipa i izvlačenje br.'!$Q11,"E")=1),'Prijava ekipa i izvlačenje br.'!R11,""))))))</f>
        <v>10</v>
      </c>
      <c r="D11" s="8" t="str">
        <f>IF(ISBLANK('Prijava ekipa i izvlačenje br.'!C11)=TRUE,"",'Prijava ekipa i izvlačenje br.'!C11)</f>
        <v>TPK Zagreb</v>
      </c>
      <c r="E11" s="8" t="str">
        <f>IF(COUNTIF('Prijava ekipa i izvlačenje br.'!$E11,"E")=1,'Prijava ekipa i izvlačenje br.'!$D11,IF(COUNTIF('Prijava ekipa i izvlačenje br.'!$H11,"E")=1,'Prijava ekipa i izvlačenje br.'!$G11,IF(COUNTIF('Prijava ekipa i izvlačenje br.'!$K11,"E")=1,'Prijava ekipa i izvlačenje br.'!$J11,IF(COUNTIF('Prijava ekipa i izvlačenje br.'!$N11,"E")=1,'Prijava ekipa i izvlačenje br.'!$M11,IF(COUNTIF('Prijava ekipa i izvlačenje br.'!$Q11,"E")=1,'Prijava ekipa i izvlačenje br.'!$P11,"")))))</f>
        <v>Zoran Štefanić</v>
      </c>
      <c r="F11" s="422">
        <v>1765</v>
      </c>
      <c r="G11" s="53">
        <f>VLOOKUP(D11,'Upis rezultata A sektora'!$D$2:$M$13,10,0)</f>
        <v>50</v>
      </c>
      <c r="H11" s="435">
        <f t="shared" si="0"/>
        <v>3.5</v>
      </c>
      <c r="I11" s="435">
        <f t="shared" si="1"/>
        <v>10</v>
      </c>
      <c r="J11" s="422"/>
      <c r="K11" s="460"/>
    </row>
    <row r="12" spans="1:11" ht="12.75">
      <c r="A12" s="49"/>
      <c r="B12" s="54">
        <f>IF(AND(ISTEXT('Prijava ekipa i izvlačenje br.'!C12)=TRUE,ISNUMBER(F12)=FALSE,COUNTIF('Prijava ekipa i izvlačenje br.'!E12:'Prijava ekipa i izvlačenje br.'!Q12,"E")=0),COUNTA(D$2:D$13)-COUNTIF(D$2:D$13,"")+1,IF(AND(ISNUMBER(F12)=TRUE,ISNUMBER(J12)=TRUE),((COUNT(F$2:F$13)+1-RANK(F12,$F$2:$F$13,0)-RANK(F12,$F$2:$F$13,1))/2)+RANK(F12,$F$2:$F$13,0)+1,IF(ISNUMBER(F12)=TRUE,((COUNT(F$2:F$13)+1-RANK(F12,$F$2:$F$13,0)-RANK(F12,$F$2:$F$13,1))/2)+RANK(F12,$F$2:$F$13,0),"")))</f>
        <v>3.5</v>
      </c>
      <c r="C12" s="55">
        <f>IF(AND(ISNUMBER('Prijava ekipa i izvlačenje br.'!A12)=TRUE,COUNTIF(E12,"")=0),'Prijava ekipa i izvlačenje br.'!A12,IF(AND(ISNUMBER('Prijava ekipa i izvlačenje br.'!F12)=TRUE,COUNTIF('Prijava ekipa i izvlačenje br.'!$E12,"E")=1),'Prijava ekipa i izvlačenje br.'!F12,IF(AND(ISNUMBER('Prijava ekipa i izvlačenje br.'!I12)=TRUE,COUNTIF('Prijava ekipa i izvlačenje br.'!$H12,"E")=1),'Prijava ekipa i izvlačenje br.'!I12,IF(AND(ISNUMBER('Prijava ekipa i izvlačenje br.'!L12)=TRUE,COUNTIF('Prijava ekipa i izvlačenje br.'!$K12,"E")=1),'Prijava ekipa i izvlačenje br.'!L12,IF(AND(ISNUMBER('Prijava ekipa i izvlačenje br.'!O12)=TRUE,COUNTIF('Prijava ekipa i izvlačenje br.'!$N12,"E")=1),'Prijava ekipa i izvlačenje br.'!O12,IF(AND(ISNUMBER('Prijava ekipa i izvlačenje br.'!R12)=TRUE,COUNTIF('Prijava ekipa i izvlačenje br.'!$Q12,"E")=1),'Prijava ekipa i izvlačenje br.'!R12,""))))))</f>
        <v>11</v>
      </c>
      <c r="D12" s="8" t="str">
        <f>IF(ISBLANK('Prijava ekipa i izvlačenje br.'!C12)=TRUE,"",'Prijava ekipa i izvlačenje br.'!C12)</f>
        <v>Ilova Garešnica</v>
      </c>
      <c r="E12" s="8" t="str">
        <f>IF(COUNTIF('Prijava ekipa i izvlačenje br.'!$E12,"E")=1,'Prijava ekipa i izvlačenje br.'!$D12,IF(COUNTIF('Prijava ekipa i izvlačenje br.'!$H12,"E")=1,'Prijava ekipa i izvlačenje br.'!$G12,IF(COUNTIF('Prijava ekipa i izvlačenje br.'!$K12,"E")=1,'Prijava ekipa i izvlačenje br.'!$J12,IF(COUNTIF('Prijava ekipa i izvlačenje br.'!$N12,"E")=1,'Prijava ekipa i izvlačenje br.'!$M12,IF(COUNTIF('Prijava ekipa i izvlačenje br.'!$Q12,"E")=1,'Prijava ekipa i izvlačenje br.'!$P12,"")))))</f>
        <v>Josip Kutlić</v>
      </c>
      <c r="F12" s="422">
        <v>1765</v>
      </c>
      <c r="G12" s="53">
        <f>VLOOKUP(D12,'Upis rezultata A sektora'!$D$2:$M$13,10,0)</f>
        <v>55</v>
      </c>
      <c r="H12" s="435">
        <f t="shared" si="0"/>
        <v>3.5</v>
      </c>
      <c r="I12" s="435">
        <f t="shared" si="1"/>
        <v>11</v>
      </c>
      <c r="J12" s="422"/>
      <c r="K12" s="460"/>
    </row>
    <row r="13" spans="1:11" ht="13.5" thickBot="1">
      <c r="A13" s="431"/>
      <c r="B13" s="425">
        <f>IF(AND(ISTEXT('Prijava ekipa i izvlačenje br.'!C13)=TRUE,ISNUMBER(F13)=FALSE,COUNTIF('Prijava ekipa i izvlačenje br.'!E13:'Prijava ekipa i izvlačenje br.'!Q13,"E")=0),COUNTA(D$2:D$13)-COUNTIF(D$2:D$13,"")+1,IF(AND(ISNUMBER(F13)=TRUE,ISNUMBER(J13)=TRUE),((COUNT(F$2:F$13)+1-RANK(F13,$F$2:$F$13,0)-RANK(F13,$F$2:$F$13,1))/2)+RANK(F13,$F$2:$F$13,0)+1,IF(ISNUMBER(F13)=TRUE,((COUNT(F$2:F$13)+1-RANK(F13,$F$2:$F$13,0)-RANK(F13,$F$2:$F$13,1))/2)+RANK(F13,$F$2:$F$13,0),"")))</f>
        <v>2</v>
      </c>
      <c r="C13" s="426">
        <f>IF(AND(ISNUMBER('Prijava ekipa i izvlačenje br.'!A13)=TRUE,COUNTIF(E13,"")=0),'Prijava ekipa i izvlačenje br.'!A13,IF(AND(ISNUMBER('Prijava ekipa i izvlačenje br.'!F13)=TRUE,COUNTIF('Prijava ekipa i izvlačenje br.'!$E13,"E")=1),'Prijava ekipa i izvlačenje br.'!F13,IF(AND(ISNUMBER('Prijava ekipa i izvlačenje br.'!I13)=TRUE,COUNTIF('Prijava ekipa i izvlačenje br.'!$H13,"E")=1),'Prijava ekipa i izvlačenje br.'!I13,IF(AND(ISNUMBER('Prijava ekipa i izvlačenje br.'!L13)=TRUE,COUNTIF('Prijava ekipa i izvlačenje br.'!$K13,"E")=1),'Prijava ekipa i izvlačenje br.'!L13,IF(AND(ISNUMBER('Prijava ekipa i izvlačenje br.'!O13)=TRUE,COUNTIF('Prijava ekipa i izvlačenje br.'!$N13,"E")=1),'Prijava ekipa i izvlačenje br.'!O13,IF(AND(ISNUMBER('Prijava ekipa i izvlačenje br.'!R13)=TRUE,COUNTIF('Prijava ekipa i izvlačenje br.'!$Q13,"E")=1),'Prijava ekipa i izvlačenje br.'!R13,""))))))</f>
        <v>12</v>
      </c>
      <c r="D13" s="433" t="str">
        <f>IF(ISBLANK('Prijava ekipa i izvlačenje br.'!C13)=TRUE,"",'Prijava ekipa i izvlačenje br.'!C13)</f>
        <v>Jez Jasenovac</v>
      </c>
      <c r="E13" s="433" t="str">
        <f>IF(COUNTIF('Prijava ekipa i izvlačenje br.'!$E13,"E")=1,'Prijava ekipa i izvlačenje br.'!$D13,IF(COUNTIF('Prijava ekipa i izvlačenje br.'!$H13,"E")=1,'Prijava ekipa i izvlačenje br.'!$G13,IF(COUNTIF('Prijava ekipa i izvlačenje br.'!$K13,"E")=1,'Prijava ekipa i izvlačenje br.'!$J13,IF(COUNTIF('Prijava ekipa i izvlačenje br.'!$N13,"E")=1,'Prijava ekipa i izvlačenje br.'!$M13,IF(COUNTIF('Prijava ekipa i izvlačenje br.'!$Q13,"E")=1,'Prijava ekipa i izvlačenje br.'!$P13,"")))))</f>
        <v>Ivan Finek</v>
      </c>
      <c r="F13" s="428">
        <v>3800</v>
      </c>
      <c r="G13" s="434">
        <f>VLOOKUP(D13,'Upis rezultata A sektora'!$D$2:$M$13,10,0)</f>
        <v>60</v>
      </c>
      <c r="H13" s="436">
        <f t="shared" si="0"/>
        <v>2</v>
      </c>
      <c r="I13" s="436">
        <f t="shared" si="1"/>
        <v>12</v>
      </c>
      <c r="J13" s="428"/>
      <c r="K13" s="460"/>
    </row>
  </sheetData>
  <sheetProtection password="C7E2" sheet="1" objects="1" scenarios="1"/>
  <printOptions/>
  <pageMargins left="0.75" right="0.75" top="1" bottom="1" header="0.5" footer="0.5"/>
  <pageSetup horizontalDpi="300" verticalDpi="300" orientation="portrait" paperSize="9" r:id="rId4"/>
  <headerFooter alignWithMargins="0">
    <oddFooter>&amp;C&amp;"Arial,Kurziv"&amp;11&amp;XProgram za izračun rezultata i provođenje natjecanja</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22">
    <tabColor indexed="11"/>
  </sheetPr>
  <dimension ref="C3:S58"/>
  <sheetViews>
    <sheetView showGridLines="0" showRowColHeaders="0" zoomScale="75" zoomScaleNormal="75" zoomScalePageLayoutView="0" workbookViewId="0" topLeftCell="A7">
      <selection activeCell="T61" sqref="T61"/>
    </sheetView>
  </sheetViews>
  <sheetFormatPr defaultColWidth="9.140625" defaultRowHeight="12.75"/>
  <cols>
    <col min="1" max="1" width="5.57421875" style="6" customWidth="1"/>
    <col min="2" max="2" width="9.140625" style="6" customWidth="1"/>
    <col min="3" max="3" width="5.140625" style="7" customWidth="1"/>
    <col min="4" max="4" width="25.7109375" style="6" customWidth="1"/>
    <col min="5" max="5" width="8.57421875" style="7" customWidth="1"/>
    <col min="6" max="6" width="11.7109375" style="82" customWidth="1"/>
    <col min="7" max="7" width="9.140625" style="126" customWidth="1"/>
    <col min="8" max="8" width="9.140625" style="7" customWidth="1"/>
    <col min="9" max="9" width="4.8515625" style="56" customWidth="1"/>
    <col min="10" max="10" width="5.00390625" style="7" customWidth="1"/>
    <col min="11" max="11" width="4.421875" style="6" customWidth="1"/>
    <col min="12" max="12" width="5.140625" style="7" customWidth="1"/>
    <col min="13" max="13" width="25.7109375" style="6" customWidth="1"/>
    <col min="14" max="14" width="8.57421875" style="7" customWidth="1"/>
    <col min="15" max="15" width="11.7109375" style="82" customWidth="1"/>
    <col min="16" max="16" width="9.140625" style="126" customWidth="1"/>
    <col min="17" max="17" width="9.140625" style="7" customWidth="1"/>
    <col min="18" max="18" width="5.00390625" style="56" customWidth="1"/>
    <col min="19" max="19" width="4.8515625" style="7" customWidth="1"/>
    <col min="20" max="16384" width="9.140625" style="6" customWidth="1"/>
  </cols>
  <sheetData>
    <row r="1" ht="15"/>
    <row r="2" ht="15"/>
    <row r="3" ht="18">
      <c r="E3" s="81" t="s">
        <v>223</v>
      </c>
    </row>
    <row r="4" ht="18">
      <c r="E4" s="81" t="s">
        <v>224</v>
      </c>
    </row>
    <row r="5" ht="15"/>
    <row r="6" ht="15"/>
    <row r="7" ht="15"/>
    <row r="9" spans="3:19" s="107" customFormat="1" ht="26.25">
      <c r="C9" s="106" t="s">
        <v>140</v>
      </c>
      <c r="E9" s="108"/>
      <c r="F9" s="109"/>
      <c r="G9" s="124"/>
      <c r="H9" s="108"/>
      <c r="I9" s="108"/>
      <c r="J9" s="108"/>
      <c r="K9" s="193" t="str">
        <f>IF(ISNONTEXT('Organizacija natjecanja'!H2)=TRUE,"",'Organizacija natjecanja'!H2)</f>
        <v>KUP "BLJESAK"</v>
      </c>
      <c r="L9" s="108"/>
      <c r="N9" s="108"/>
      <c r="O9" s="109"/>
      <c r="P9" s="124"/>
      <c r="Q9" s="108"/>
      <c r="R9" s="108"/>
      <c r="S9" s="108"/>
    </row>
    <row r="10" spans="3:19" s="80" customFormat="1" ht="23.25">
      <c r="C10" s="79" t="s">
        <v>141</v>
      </c>
      <c r="E10" s="178" t="str">
        <f>IF(ISNONTEXT('Organizacija natjecanja'!H4)=TRUE,"",'Organizacija natjecanja'!H4)</f>
        <v>Jezero Raminac</v>
      </c>
      <c r="F10" s="178"/>
      <c r="G10" s="178"/>
      <c r="H10" s="81"/>
      <c r="I10" s="179" t="s">
        <v>142</v>
      </c>
      <c r="J10" s="106" t="str">
        <f>IF(ISNONTEXT('Organizacija natjecanja'!H5)=TRUE,"",'Organizacija natjecanja'!H5)</f>
        <v>Lipik, 28.04.2009.g.</v>
      </c>
      <c r="L10" s="81"/>
      <c r="N10" s="81"/>
      <c r="O10" s="111" t="s">
        <v>143</v>
      </c>
      <c r="P10" s="124"/>
      <c r="Q10" s="139" t="str">
        <f>IF(ISBLANK('Organizacija natjecanja'!$H$9)=TRUE,"",'Organizacija natjecanja'!$H$9)</f>
        <v>SENIORI</v>
      </c>
      <c r="R10" s="81"/>
      <c r="S10" s="81"/>
    </row>
    <row r="11" ht="15.75" thickBot="1"/>
    <row r="12" spans="3:19" s="86" customFormat="1" ht="26.25" thickBot="1">
      <c r="C12" s="167" t="s">
        <v>86</v>
      </c>
      <c r="D12" s="192" t="s">
        <v>64</v>
      </c>
      <c r="E12" s="168" t="s">
        <v>23</v>
      </c>
      <c r="F12" s="169" t="s">
        <v>102</v>
      </c>
      <c r="G12" s="169" t="s">
        <v>82</v>
      </c>
      <c r="H12" s="169" t="s">
        <v>215</v>
      </c>
      <c r="I12" s="478" t="s">
        <v>91</v>
      </c>
      <c r="J12" s="479"/>
      <c r="K12" s="65"/>
      <c r="L12" s="170" t="s">
        <v>86</v>
      </c>
      <c r="M12" s="192" t="s">
        <v>64</v>
      </c>
      <c r="N12" s="169" t="s">
        <v>23</v>
      </c>
      <c r="O12" s="169" t="s">
        <v>102</v>
      </c>
      <c r="P12" s="169" t="s">
        <v>82</v>
      </c>
      <c r="Q12" s="169" t="s">
        <v>215</v>
      </c>
      <c r="R12" s="478" t="s">
        <v>91</v>
      </c>
      <c r="S12" s="479"/>
    </row>
    <row r="13" spans="3:19" s="68" customFormat="1" ht="16.5" thickBot="1">
      <c r="C13" s="31"/>
      <c r="E13" s="31"/>
      <c r="F13" s="120"/>
      <c r="G13" s="126"/>
      <c r="H13" s="31"/>
      <c r="I13" s="104"/>
      <c r="J13" s="31"/>
      <c r="L13" s="31"/>
      <c r="N13" s="31"/>
      <c r="O13" s="120"/>
      <c r="P13" s="126"/>
      <c r="Q13" s="31"/>
      <c r="R13" s="104"/>
      <c r="S13" s="31"/>
    </row>
    <row r="14" spans="3:19" s="68" customFormat="1" ht="15" customHeight="1">
      <c r="C14" s="180">
        <f>IF(ISNUMBER(E14)=TRUE,VLOOKUP(C19,'Upis rezultata A sektora'!$D$2:$I$13,6,0),"")</f>
        <v>1</v>
      </c>
      <c r="D14" s="181" t="str">
        <f>IF(ISNUMBER(I14)=TRUE,VLOOKUP(C19,'Upis rezultata A sektora'!$D$2:$E$13,2,FALSE),"")</f>
        <v>Elvis Šinko</v>
      </c>
      <c r="E14" s="182">
        <f>IF(ISNUMBER(I14)=TRUE,VLOOKUP(D14,'Upis rezultata A sektora'!$E$2:$G$13,3,FALSE),"")</f>
        <v>1</v>
      </c>
      <c r="F14" s="183">
        <f>IF(ISNUMBER(E14)=TRUE,VLOOKUP(D14,'Upis rezultata A sektora'!$E$2:$G$13,2,FALSE),"")</f>
        <v>5000</v>
      </c>
      <c r="G14" s="184">
        <f>IF(ISNUMBER(I14)=TRUE,VLOOKUP(C19,'Upis rezultata A sektora'!$D$2:$H$13,5,FALSE),"")</f>
        <v>1</v>
      </c>
      <c r="H14" s="184">
        <f>IF(ISBLANK(D14)=TRUE,"",IF(ISNUMBER(I14)=TRUE,VLOOKUP(D14,'Pojedinačni plasman'!$A$6:$G$65,7,FALSE),""))</f>
        <v>1</v>
      </c>
      <c r="I14" s="472">
        <f>VLOOKUP(C19,'Ekipni plasman'!$B$6:$F$17,5,FALSE)</f>
        <v>1</v>
      </c>
      <c r="J14" s="473"/>
      <c r="L14" s="180">
        <f>IF(ISNUMBER(N14)=TRUE,VLOOKUP(L19,'Upis rezultata A sektora'!$D$2:$I$13,6,0),"")</f>
        <v>26</v>
      </c>
      <c r="M14" s="181" t="str">
        <f>IF(ISNUMBER(R14)=TRUE,VLOOKUP(L19,'Upis rezultata A sektora'!$D$2:$E$13,2,FALSE),"")</f>
        <v>Dražen Bajzek</v>
      </c>
      <c r="N14" s="182">
        <f>IF(ISNUMBER(R14)=TRUE,VLOOKUP(M14,'Upis rezultata A sektora'!$E$2:$G$13,3,FALSE),"")</f>
        <v>6</v>
      </c>
      <c r="O14" s="183">
        <f>IF(ISNUMBER(N14)=TRUE,VLOOKUP(M14,'Upis rezultata A sektora'!$E$2:$G$13,2,FALSE),"")</f>
        <v>2105</v>
      </c>
      <c r="P14" s="184">
        <f>IF(ISNUMBER(R14)=TRUE,VLOOKUP(L19,'Upis rezultata A sektora'!$D$2:$H$13,5,FALSE),"")</f>
        <v>5</v>
      </c>
      <c r="Q14" s="184">
        <f>IF(ISBLANK(M14)=TRUE,"",IF(ISNUMBER(R14)=TRUE,VLOOKUP(M14,'Pojedinačni plasman'!$A$6:$G$65,7,FALSE),""))</f>
        <v>22</v>
      </c>
      <c r="R14" s="472">
        <f>VLOOKUP(L19,'Ekipni plasman'!$B$6:$F$17,5,FALSE)</f>
        <v>7</v>
      </c>
      <c r="S14" s="473"/>
    </row>
    <row r="15" spans="3:19" s="68" customFormat="1" ht="15.75" customHeight="1">
      <c r="C15" s="185">
        <f>IF(ISNUMBER(E15)=TRUE,VLOOKUP(C19,'Upis rezultata B sektora'!$D$2:$G$13,4,0),"")</f>
        <v>2</v>
      </c>
      <c r="D15" s="186" t="str">
        <f>IF(ISNUMBER(I14)=TRUE,VLOOKUP(C19,'Upis rezultata B sektora'!$D$2:$E$13,2,FALSE),"")</f>
        <v>Nenad Viboh</v>
      </c>
      <c r="E15" s="187">
        <f>IF(ISNUMBER(I14)=TRUE,VLOOKUP(D15,'Upis rezultata B sektora'!$E$2:$I$13,5,FALSE),"")</f>
        <v>1</v>
      </c>
      <c r="F15" s="188">
        <f>IF(ISNUMBER(E15)=TRUE,VLOOKUP(D15,'Upis rezultata B sektora'!$E$2:$G$13,2,FALSE),"")</f>
        <v>5000</v>
      </c>
      <c r="G15" s="189">
        <f>IF(ISNUMBER(I14)=TRUE,VLOOKUP(C19,'Upis rezultata B sektora'!$D$2:$H$13,5,FALSE),"")</f>
        <v>1</v>
      </c>
      <c r="H15" s="189">
        <f>IF(ISBLANK(D15)=TRUE,"",IF(ISNUMBER(I14)=TRUE,VLOOKUP(D15,'Pojedinačni plasman'!$A$6:$G$65,7,FALSE),""))</f>
        <v>1</v>
      </c>
      <c r="I15" s="474"/>
      <c r="J15" s="475"/>
      <c r="L15" s="185">
        <f>IF(ISNUMBER(N15)=TRUE,VLOOKUP(L19,'Upis rezultata B sektora'!$D$2:$G$13,4,0),"")</f>
        <v>27</v>
      </c>
      <c r="M15" s="186" t="str">
        <f>IF(ISNUMBER(R14)=TRUE,VLOOKUP(L19,'Upis rezultata B sektora'!$D$2:$E$13,2,FALSE),"")</f>
        <v>Zlatko Kračun</v>
      </c>
      <c r="N15" s="187">
        <f>IF(ISNUMBER(R14)=TRUE,VLOOKUP(M15,'Upis rezultata B sektora'!$E$2:$I$13,5,FALSE),"")</f>
        <v>6</v>
      </c>
      <c r="O15" s="188">
        <f>IF(ISNUMBER(N15)=TRUE,VLOOKUP(M15,'Upis rezultata B sektora'!$E$2:$G$13,2,FALSE),"")</f>
        <v>1119</v>
      </c>
      <c r="P15" s="189">
        <f>IF(ISNUMBER(R14)=TRUE,VLOOKUP(L19,'Upis rezultata B sektora'!$D$2:$H$13,5,FALSE),"")</f>
        <v>10.5</v>
      </c>
      <c r="Q15" s="189">
        <f>IF(ISBLANK(M15)=TRUE,"",IF(ISNUMBER(R14)=TRUE,VLOOKUP(M15,'Pojedinačni plasman'!$A$6:$G$65,7,FALSE),""))</f>
        <v>50</v>
      </c>
      <c r="R15" s="474"/>
      <c r="S15" s="475"/>
    </row>
    <row r="16" spans="3:19" s="68" customFormat="1" ht="15.75" customHeight="1">
      <c r="C16" s="185">
        <f>IF(ISNUMBER(E16)=TRUE,VLOOKUP(C19,'Upis rezultata C sektora'!$D$2:$G$13,4,0),"")</f>
        <v>3</v>
      </c>
      <c r="D16" s="186" t="str">
        <f>IF(ISNUMBER(I14)=TRUE,VLOOKUP(C19,'Upis rezultata C sektora'!$D$2:$E$13,2,FALSE),"")</f>
        <v>Hrvoje Kovač</v>
      </c>
      <c r="E16" s="187">
        <f>IF(ISNUMBER(I14)=TRUE,VLOOKUP(D16,'Upis rezultata C sektora'!$E$2:$I$13,5,FALSE),"")</f>
        <v>1</v>
      </c>
      <c r="F16" s="188">
        <f>IF(ISNUMBER(E16)=TRUE,VLOOKUP(D16,'Upis rezultata C sektora'!$E$2:$G$13,2,FALSE),"")</f>
        <v>5000</v>
      </c>
      <c r="G16" s="189">
        <f>IF(ISNUMBER(I14)=TRUE,VLOOKUP(C19,'Upis rezultata C sektora'!$D$2:$H$13,5,FALSE),"")</f>
        <v>1</v>
      </c>
      <c r="H16" s="189">
        <f>IF(ISBLANK(D16)=TRUE,"",IF(ISNUMBER(I14)=TRUE,VLOOKUP(D16,'Pojedinačni plasman'!$A$6:$G$65,7,FALSE),""))</f>
        <v>1</v>
      </c>
      <c r="I16" s="474"/>
      <c r="J16" s="475"/>
      <c r="L16" s="185">
        <f>IF(ISNUMBER(N16)=TRUE,VLOOKUP(L19,'Upis rezultata C sektora'!$D$2:$G$13,4,0),"")</f>
        <v>28</v>
      </c>
      <c r="M16" s="186" t="str">
        <f>IF(ISNUMBER(R14)=TRUE,VLOOKUP(L19,'Upis rezultata C sektora'!$D$2:$E$13,2,FALSE),"")</f>
        <v>Ljubo Matulin</v>
      </c>
      <c r="N16" s="187">
        <f>IF(ISNUMBER(R14)=TRUE,VLOOKUP(M16,'Upis rezultata C sektora'!$E$2:$I$13,5,FALSE),"")</f>
        <v>6</v>
      </c>
      <c r="O16" s="188">
        <f>IF(ISNUMBER(N16)=TRUE,VLOOKUP(M16,'Upis rezultata C sektora'!$E$2:$G$13,2,FALSE),"")</f>
        <v>2005</v>
      </c>
      <c r="P16" s="189">
        <f>IF(ISNUMBER(R14)=TRUE,VLOOKUP(L19,'Upis rezultata C sektora'!$D$2:$H$13,5,FALSE),"")</f>
        <v>4</v>
      </c>
      <c r="Q16" s="189">
        <f>IF(ISBLANK(M16)=TRUE,"",IF(ISNUMBER(R14)=TRUE,VLOOKUP(M16,'Pojedinačni plasman'!$A$6:$G$65,7,FALSE),""))</f>
        <v>19</v>
      </c>
      <c r="R16" s="474"/>
      <c r="S16" s="475"/>
    </row>
    <row r="17" spans="3:19" s="68" customFormat="1" ht="15.75" customHeight="1">
      <c r="C17" s="185">
        <f>IF(ISNUMBER(E17)=TRUE,VLOOKUP(C19,'Upis rezultata D sektora'!$D$2:$G$13,4,0),"")</f>
        <v>4</v>
      </c>
      <c r="D17" s="186" t="str">
        <f>IF(ISNUMBER(I14)=TRUE,VLOOKUP(C19,'Upis rezultata D sektora'!$D$2:$E$13,2,FALSE),"")</f>
        <v>Damir Jauševac</v>
      </c>
      <c r="E17" s="187">
        <f>IF(ISNUMBER(I14)=TRUE,VLOOKUP(D17,'Upis rezultata D sektora'!$E$2:$I$13,5,FALSE),"")</f>
        <v>1</v>
      </c>
      <c r="F17" s="188">
        <f>IF(ISNUMBER(E17)=TRUE,VLOOKUP(D17,'Upis rezultata D sektora'!$E$2:$G$13,2,FALSE),"")</f>
        <v>5000</v>
      </c>
      <c r="G17" s="189">
        <f>IF(ISNUMBER(I14)=TRUE,VLOOKUP(C19,'Upis rezultata D sektora'!$D$2:$H$13,5,FALSE),"")</f>
        <v>1</v>
      </c>
      <c r="H17" s="189">
        <f>IF(ISBLANK(D17)=TRUE,"",IF(ISNUMBER(I14)=TRUE,VLOOKUP(D17,'Pojedinačni plasman'!$A$6:$G$65,7,FALSE),""))</f>
        <v>1</v>
      </c>
      <c r="I17" s="474"/>
      <c r="J17" s="475"/>
      <c r="L17" s="185">
        <f>IF(ISNUMBER(N17)=TRUE,VLOOKUP(L19,'Upis rezultata D sektora'!$D$2:$G$13,4,0),"")</f>
        <v>29</v>
      </c>
      <c r="M17" s="186" t="str">
        <f>IF(ISNUMBER(R14)=TRUE,VLOOKUP(L19,'Upis rezultata D sektora'!$D$2:$E$13,2,FALSE),"")</f>
        <v>Mensur Rošić</v>
      </c>
      <c r="N17" s="187">
        <f>IF(ISNUMBER(R14)=TRUE,VLOOKUP(M17,'Upis rezultata D sektora'!$E$2:$I$13,5,FALSE),"")</f>
        <v>6</v>
      </c>
      <c r="O17" s="188">
        <f>IF(ISNUMBER(N17)=TRUE,VLOOKUP(M17,'Upis rezultata D sektora'!$E$2:$G$13,2,FALSE),"")</f>
        <v>1354</v>
      </c>
      <c r="P17" s="189">
        <f>IF(ISNUMBER(R14)=TRUE,VLOOKUP(L19,'Upis rezultata D sektora'!$D$2:$H$13,5,FALSE),"")</f>
        <v>8</v>
      </c>
      <c r="Q17" s="189">
        <f>IF(ISBLANK(M17)=TRUE,"",IF(ISNUMBER(R14)=TRUE,VLOOKUP(M17,'Pojedinačni plasman'!$A$6:$G$65,7,FALSE),""))</f>
        <v>37</v>
      </c>
      <c r="R17" s="474"/>
      <c r="S17" s="475"/>
    </row>
    <row r="18" spans="3:19" s="68" customFormat="1" ht="15.75" customHeight="1">
      <c r="C18" s="185">
        <f>IF(ISNUMBER(E18)=TRUE,VLOOKUP(C19,'Upis rezultata E sektora'!$D$2:$G$13,4,0),"")</f>
        <v>5</v>
      </c>
      <c r="D18" s="186" t="str">
        <f>IF(ISNUMBER(I14)=TRUE,VLOOKUP(C19,'Upis rezultata E sektora'!$D$2:$E$13,2,FALSE),"")</f>
        <v>Ivan Kovač</v>
      </c>
      <c r="E18" s="187">
        <f>IF(ISNUMBER(I14)=TRUE,VLOOKUP(D18,'Upis rezultata E sektora'!$E$2:$I$13,5,FALSE),"")</f>
        <v>1</v>
      </c>
      <c r="F18" s="188">
        <f>IF(ISNUMBER(E18)=TRUE,VLOOKUP(D18,'Upis rezultata E sektora'!$E$2:$G$13,2,FALSE),"")</f>
        <v>5000</v>
      </c>
      <c r="G18" s="189">
        <f>IF(ISNUMBER(I14)=TRUE,VLOOKUP(C19,'Upis rezultata E sektora'!$D$2:$H$13,5,FALSE),"")</f>
        <v>1</v>
      </c>
      <c r="H18" s="189">
        <f>IF(ISBLANK(D18)=TRUE,"",IF(ISNUMBER(I14)=TRUE,VLOOKUP(D18,'Pojedinačni plasman'!$A$6:$G$65,7,FALSE),""))</f>
        <v>1</v>
      </c>
      <c r="I18" s="474"/>
      <c r="J18" s="475"/>
      <c r="L18" s="185">
        <f>IF(ISNUMBER(N18)=TRUE,VLOOKUP(L19,'Upis rezultata E sektora'!$D$2:$G$13,4,0),"")</f>
        <v>30</v>
      </c>
      <c r="M18" s="186" t="str">
        <f>IF(ISNUMBER(R14)=TRUE,VLOOKUP(L19,'Upis rezultata E sektora'!$D$2:$E$13,2,FALSE),"")</f>
        <v>Davor Florijanić</v>
      </c>
      <c r="N18" s="187">
        <f>IF(ISNUMBER(R14)=TRUE,VLOOKUP(M18,'Upis rezultata E sektora'!$E$2:$I$13,5,FALSE),"")</f>
        <v>6</v>
      </c>
      <c r="O18" s="188">
        <f>IF(ISNUMBER(N18)=TRUE,VLOOKUP(M18,'Upis rezultata E sektora'!$E$2:$G$13,2,FALSE),"")</f>
        <v>1325</v>
      </c>
      <c r="P18" s="189">
        <f>IF(ISNUMBER(R14)=TRUE,VLOOKUP(L19,'Upis rezultata E sektora'!$D$2:$H$13,5,FALSE),"")</f>
        <v>8.5</v>
      </c>
      <c r="Q18" s="189">
        <f>IF(ISBLANK(M18)=TRUE,"",IF(ISNUMBER(R14)=TRUE,VLOOKUP(M18,'Pojedinačni plasman'!$A$6:$G$65,7,FALSE),""))</f>
        <v>41</v>
      </c>
      <c r="R18" s="474"/>
      <c r="S18" s="475"/>
    </row>
    <row r="19" spans="3:19" s="83" customFormat="1" ht="21" thickBot="1">
      <c r="C19" s="480" t="str">
        <f>IF(ISNONTEXT('Ekipni plasman'!$B$6)=TRUE,"",'Ekipni plasman'!$B$6)</f>
        <v>Korana Karlovac</v>
      </c>
      <c r="D19" s="481"/>
      <c r="E19" s="482"/>
      <c r="F19" s="190">
        <f>VLOOKUP(C19,'Ekipni plasman'!$B$6:$F$17,3,FALSE)</f>
        <v>25000</v>
      </c>
      <c r="G19" s="351">
        <f>VLOOKUP(C19,'Ekipni plasman'!$B$6:$F$17,2,FALSE)</f>
        <v>5</v>
      </c>
      <c r="H19" s="171"/>
      <c r="I19" s="476"/>
      <c r="J19" s="477"/>
      <c r="L19" s="480" t="str">
        <f>IF(ISNONTEXT('Ekipni plasman'!$B$12)=TRUE,"",'Ekipni plasman'!$B$12)</f>
        <v>Azzuro Varaždin</v>
      </c>
      <c r="M19" s="481"/>
      <c r="N19" s="482"/>
      <c r="O19" s="190">
        <f>VLOOKUP(L19,'Ekipni plasman'!$B$6:$F$17,3,FALSE)</f>
        <v>7908</v>
      </c>
      <c r="P19" s="351">
        <f>VLOOKUP(L19,'Ekipni plasman'!$B$6:$F$17,2,FALSE)</f>
        <v>36</v>
      </c>
      <c r="Q19" s="171"/>
      <c r="R19" s="476"/>
      <c r="S19" s="477"/>
    </row>
    <row r="20" ht="15.75" thickBot="1"/>
    <row r="21" spans="3:19" s="68" customFormat="1" ht="15" customHeight="1">
      <c r="C21" s="180">
        <f>IF(ISNUMBER(E21)=TRUE,VLOOKUP(C26,'Upis rezultata A sektora'!$D$2:$I$13,6,0),"")</f>
        <v>56</v>
      </c>
      <c r="D21" s="181" t="str">
        <f>IF(ISNUMBER(I21)=TRUE,VLOOKUP(C26,'Upis rezultata A sektora'!$D$2:$E$13,2,FALSE),"")</f>
        <v>Mladen Meseš</v>
      </c>
      <c r="E21" s="182">
        <f>IF(ISNUMBER(I21)=TRUE,VLOOKUP(D21,'Upis rezultata A sektora'!$E$2:$G$13,3,FALSE),"")</f>
        <v>12</v>
      </c>
      <c r="F21" s="183">
        <f>IF(ISNUMBER(E21)=TRUE,VLOOKUP(D21,'Upis rezultata A sektora'!$E$2:$G$13,2,FALSE),"")</f>
        <v>1680</v>
      </c>
      <c r="G21" s="184">
        <f>IF(ISNUMBER(I21)=TRUE,VLOOKUP(C26,'Upis rezultata A sektora'!$D$2:$H$13,5,FALSE),"")</f>
        <v>7</v>
      </c>
      <c r="H21" s="184">
        <f>IF(ISBLANK(D21)=TRUE,"",IF(ISNUMBER(I21)=TRUE,VLOOKUP(D21,'Pojedinačni plasman'!$A$6:$G$65,7,FALSE),""))</f>
        <v>33</v>
      </c>
      <c r="I21" s="472">
        <f>VLOOKUP(C26,'Ekipni plasman'!$B$6:$F$17,5,FALSE)</f>
        <v>2</v>
      </c>
      <c r="J21" s="473"/>
      <c r="L21" s="180">
        <f>IF(ISNUMBER(N21)=TRUE,VLOOKUP(L26,'Upis rezultata A sektora'!$D$2:$I$13,6,0),"")</f>
        <v>31</v>
      </c>
      <c r="M21" s="181" t="str">
        <f>IF(ISNUMBER(R21)=TRUE,VLOOKUP(L26,'Upis rezultata A sektora'!$D$2:$E$13,2,FALSE),"")</f>
        <v>Zdravko Gotovac</v>
      </c>
      <c r="N21" s="182">
        <f>IF(ISNUMBER(R21)=TRUE,VLOOKUP(M21,'Upis rezultata A sektora'!$E$2:$G$13,3,FALSE),"")</f>
        <v>7</v>
      </c>
      <c r="O21" s="183">
        <f>IF(ISNUMBER(N21)=TRUE,VLOOKUP(M21,'Upis rezultata A sektora'!$E$2:$G$13,2,FALSE),"")</f>
        <v>905</v>
      </c>
      <c r="P21" s="184">
        <f>IF(ISNUMBER(R21)=TRUE,VLOOKUP(L26,'Upis rezultata A sektora'!$D$2:$H$13,5,FALSE),"")</f>
        <v>10.5</v>
      </c>
      <c r="Q21" s="184">
        <f>IF(ISBLANK(M21)=TRUE,"",IF(ISNUMBER(R21)=TRUE,VLOOKUP(M21,'Pojedinačni plasman'!$A$6:$G$65,7,FALSE),""))</f>
        <v>52</v>
      </c>
      <c r="R21" s="472">
        <f>VLOOKUP(L26,'Ekipni plasman'!$B$6:$F$17,5,FALSE)</f>
        <v>8</v>
      </c>
      <c r="S21" s="473"/>
    </row>
    <row r="22" spans="3:19" s="68" customFormat="1" ht="15.75" customHeight="1">
      <c r="C22" s="185">
        <f>IF(ISNUMBER(E22)=TRUE,VLOOKUP(C26,'Upis rezultata B sektora'!$D$2:$G$13,4,0),"")</f>
        <v>57</v>
      </c>
      <c r="D22" s="186" t="str">
        <f>IF(ISNUMBER(I21)=TRUE,VLOOKUP(C26,'Upis rezultata B sektora'!$D$2:$E$13,2,FALSE),"")</f>
        <v>Marijan Kumić</v>
      </c>
      <c r="E22" s="187">
        <f>IF(ISNUMBER(I21)=TRUE,VLOOKUP(D22,'Upis rezultata B sektora'!$E$2:$I$13,5,FALSE),"")</f>
        <v>12</v>
      </c>
      <c r="F22" s="188">
        <f>IF(ISNUMBER(E22)=TRUE,VLOOKUP(D22,'Upis rezultata B sektora'!$E$2:$G$13,2,FALSE),"")</f>
        <v>3700</v>
      </c>
      <c r="G22" s="189">
        <f>IF(ISNUMBER(I21)=TRUE,VLOOKUP(C26,'Upis rezultata B sektora'!$D$2:$H$13,5,FALSE),"")</f>
        <v>2</v>
      </c>
      <c r="H22" s="189">
        <f>IF(ISBLANK(D22)=TRUE,"",IF(ISNUMBER(I21)=TRUE,VLOOKUP(D22,'Pojedinačni plasman'!$A$6:$G$65,7,FALSE),""))</f>
        <v>9</v>
      </c>
      <c r="I22" s="474"/>
      <c r="J22" s="475"/>
      <c r="L22" s="185">
        <f>IF(ISNUMBER(N22)=TRUE,VLOOKUP(L26,'Upis rezultata B sektora'!$D$2:$G$13,4,0),"")</f>
        <v>32</v>
      </c>
      <c r="M22" s="186" t="str">
        <f>IF(ISNUMBER(R21)=TRUE,VLOOKUP(L26,'Upis rezultata B sektora'!$D$2:$E$13,2,FALSE),"")</f>
        <v>Željko Raženj</v>
      </c>
      <c r="N22" s="187">
        <f>IF(ISNUMBER(R21)=TRUE,VLOOKUP(M22,'Upis rezultata B sektora'!$E$2:$I$13,5,FALSE),"")</f>
        <v>7</v>
      </c>
      <c r="O22" s="188">
        <f>IF(ISNUMBER(N22)=TRUE,VLOOKUP(M22,'Upis rezultata B sektora'!$E$2:$G$13,2,FALSE),"")</f>
        <v>1895</v>
      </c>
      <c r="P22" s="189">
        <f>IF(ISNUMBER(R21)=TRUE,VLOOKUP(L26,'Upis rezultata B sektora'!$D$2:$H$13,5,FALSE),"")</f>
        <v>7</v>
      </c>
      <c r="Q22" s="189">
        <f>IF(ISBLANK(M22)=TRUE,"",IF(ISNUMBER(R21)=TRUE,VLOOKUP(M22,'Pojedinačni plasman'!$A$6:$G$65,7,FALSE),""))</f>
        <v>32</v>
      </c>
      <c r="R22" s="474"/>
      <c r="S22" s="475"/>
    </row>
    <row r="23" spans="3:19" s="68" customFormat="1" ht="15.75" customHeight="1">
      <c r="C23" s="185">
        <f>IF(ISNUMBER(E23)=TRUE,VLOOKUP(C26,'Upis rezultata C sektora'!$D$2:$G$13,4,0),"")</f>
        <v>58</v>
      </c>
      <c r="D23" s="186" t="str">
        <f>IF(ISNUMBER(I21)=TRUE,VLOOKUP(C26,'Upis rezultata C sektora'!$D$2:$E$13,2,FALSE),"")</f>
        <v>Siniša Finek</v>
      </c>
      <c r="E23" s="187">
        <f>IF(ISNUMBER(I21)=TRUE,VLOOKUP(D23,'Upis rezultata C sektora'!$E$2:$I$13,5,FALSE),"")</f>
        <v>12</v>
      </c>
      <c r="F23" s="188">
        <f>IF(ISNUMBER(E23)=TRUE,VLOOKUP(D23,'Upis rezultata C sektora'!$E$2:$G$13,2,FALSE),"")</f>
        <v>4500</v>
      </c>
      <c r="G23" s="189">
        <f>IF(ISNUMBER(I21)=TRUE,VLOOKUP(C26,'Upis rezultata C sektora'!$D$2:$H$13,5,FALSE),"")</f>
        <v>3</v>
      </c>
      <c r="H23" s="189">
        <f>IF(ISBLANK(D23)=TRUE,"",IF(ISNUMBER(I21)=TRUE,VLOOKUP(D23,'Pojedinačni plasman'!$A$6:$G$65,7,FALSE),""))</f>
        <v>11</v>
      </c>
      <c r="I23" s="474"/>
      <c r="J23" s="475"/>
      <c r="L23" s="185">
        <f>IF(ISNUMBER(N23)=TRUE,VLOOKUP(L26,'Upis rezultata C sektora'!$D$2:$G$13,4,0),"")</f>
        <v>33</v>
      </c>
      <c r="M23" s="186" t="str">
        <f>IF(ISNUMBER(R21)=TRUE,VLOOKUP(L26,'Upis rezultata C sektora'!$D$2:$E$13,2,FALSE),"")</f>
        <v>Ivan Fehir</v>
      </c>
      <c r="N23" s="187">
        <f>IF(ISNUMBER(R21)=TRUE,VLOOKUP(M23,'Upis rezultata C sektora'!$E$2:$I$13,5,FALSE),"")</f>
        <v>7</v>
      </c>
      <c r="O23" s="188">
        <f>IF(ISNUMBER(N23)=TRUE,VLOOKUP(M23,'Upis rezultata C sektora'!$E$2:$G$13,2,FALSE),"")</f>
        <v>1790</v>
      </c>
      <c r="P23" s="189">
        <f>IF(ISNUMBER(R21)=TRUE,VLOOKUP(L26,'Upis rezultata C sektora'!$D$2:$H$13,5,FALSE),"")</f>
        <v>5</v>
      </c>
      <c r="Q23" s="189">
        <f>IF(ISBLANK(M23)=TRUE,"",IF(ISNUMBER(R21)=TRUE,VLOOKUP(M23,'Pojedinačni plasman'!$A$6:$G$65,7,FALSE),""))</f>
        <v>23</v>
      </c>
      <c r="R23" s="474"/>
      <c r="S23" s="475"/>
    </row>
    <row r="24" spans="3:19" s="68" customFormat="1" ht="15.75" customHeight="1">
      <c r="C24" s="185">
        <f>IF(ISNUMBER(E24)=TRUE,VLOOKUP(C26,'Upis rezultata D sektora'!$D$2:$G$13,4,0),"")</f>
        <v>59</v>
      </c>
      <c r="D24" s="186" t="str">
        <f>IF(ISNUMBER(I21)=TRUE,VLOOKUP(C26,'Upis rezultata D sektora'!$D$2:$E$13,2,FALSE),"")</f>
        <v>Mario Akmačić</v>
      </c>
      <c r="E24" s="187">
        <f>IF(ISNUMBER(I21)=TRUE,VLOOKUP(D24,'Upis rezultata D sektora'!$E$2:$I$13,5,FALSE),"")</f>
        <v>12</v>
      </c>
      <c r="F24" s="188">
        <f>IF(ISNUMBER(E24)=TRUE,VLOOKUP(D24,'Upis rezultata D sektora'!$E$2:$G$13,2,FALSE),"")</f>
        <v>2970</v>
      </c>
      <c r="G24" s="189">
        <f>IF(ISNUMBER(I21)=TRUE,VLOOKUP(C26,'Upis rezultata D sektora'!$D$2:$H$13,5,FALSE),"")</f>
        <v>3</v>
      </c>
      <c r="H24" s="189">
        <f>IF(ISBLANK(D24)=TRUE,"",IF(ISNUMBER(I21)=TRUE,VLOOKUP(D24,'Pojedinačni plasman'!$A$6:$G$65,7,FALSE),""))</f>
        <v>13</v>
      </c>
      <c r="I24" s="474"/>
      <c r="J24" s="475"/>
      <c r="L24" s="185">
        <f>IF(ISNUMBER(N24)=TRUE,VLOOKUP(L26,'Upis rezultata D sektora'!$D$2:$G$13,4,0),"")</f>
        <v>34</v>
      </c>
      <c r="M24" s="186" t="str">
        <f>IF(ISNUMBER(R21)=TRUE,VLOOKUP(L26,'Upis rezultata D sektora'!$D$2:$E$13,2,FALSE),"")</f>
        <v>Tihomir Vukić</v>
      </c>
      <c r="N24" s="187">
        <f>IF(ISNUMBER(R21)=TRUE,VLOOKUP(M24,'Upis rezultata D sektora'!$E$2:$I$13,5,FALSE),"")</f>
        <v>7</v>
      </c>
      <c r="O24" s="188">
        <f>IF(ISNUMBER(N24)=TRUE,VLOOKUP(M24,'Upis rezultata D sektora'!$E$2:$G$13,2,FALSE),"")</f>
        <v>1498</v>
      </c>
      <c r="P24" s="189">
        <f>IF(ISNUMBER(R21)=TRUE,VLOOKUP(L26,'Upis rezultata D sektora'!$D$2:$H$13,5,FALSE),"")</f>
        <v>7</v>
      </c>
      <c r="Q24" s="189">
        <f>IF(ISBLANK(M24)=TRUE,"",IF(ISNUMBER(R21)=TRUE,VLOOKUP(M24,'Pojedinačni plasman'!$A$6:$G$65,7,FALSE),""))</f>
        <v>34</v>
      </c>
      <c r="R24" s="474"/>
      <c r="S24" s="475"/>
    </row>
    <row r="25" spans="3:19" s="68" customFormat="1" ht="15.75" customHeight="1">
      <c r="C25" s="185">
        <f>IF(ISNUMBER(E25)=TRUE,VLOOKUP(C26,'Upis rezultata E sektora'!$D$2:$G$13,4,0),"")</f>
        <v>60</v>
      </c>
      <c r="D25" s="186" t="str">
        <f>IF(ISNUMBER(I21)=TRUE,VLOOKUP(C26,'Upis rezultata E sektora'!$D$2:$E$13,2,FALSE),"")</f>
        <v>Ivan Finek</v>
      </c>
      <c r="E25" s="187">
        <f>IF(ISNUMBER(I21)=TRUE,VLOOKUP(D25,'Upis rezultata E sektora'!$E$2:$I$13,5,FALSE),"")</f>
        <v>12</v>
      </c>
      <c r="F25" s="188">
        <f>IF(ISNUMBER(E25)=TRUE,VLOOKUP(D25,'Upis rezultata E sektora'!$E$2:$G$13,2,FALSE),"")</f>
        <v>3800</v>
      </c>
      <c r="G25" s="189">
        <f>IF(ISNUMBER(I21)=TRUE,VLOOKUP(C26,'Upis rezultata E sektora'!$D$2:$H$13,5,FALSE),"")</f>
        <v>2</v>
      </c>
      <c r="H25" s="189">
        <f>IF(ISBLANK(D25)=TRUE,"",IF(ISNUMBER(I21)=TRUE,VLOOKUP(D25,'Pojedinačni plasman'!$A$6:$G$65,7,FALSE),""))</f>
        <v>8</v>
      </c>
      <c r="I25" s="474"/>
      <c r="J25" s="475"/>
      <c r="L25" s="185">
        <f>IF(ISNUMBER(N25)=TRUE,VLOOKUP(L26,'Upis rezultata E sektora'!$D$2:$G$13,4,0),"")</f>
        <v>35</v>
      </c>
      <c r="M25" s="186" t="str">
        <f>IF(ISNUMBER(R21)=TRUE,VLOOKUP(L26,'Upis rezultata E sektora'!$D$2:$E$13,2,FALSE),"")</f>
        <v>Goran Abramović</v>
      </c>
      <c r="N25" s="187">
        <f>IF(ISNUMBER(R21)=TRUE,VLOOKUP(M25,'Upis rezultata E sektora'!$E$2:$I$13,5,FALSE),"")</f>
        <v>7</v>
      </c>
      <c r="O25" s="188">
        <f>IF(ISNUMBER(N25)=TRUE,VLOOKUP(M25,'Upis rezultata E sektora'!$E$2:$G$13,2,FALSE),"")</f>
        <v>1354</v>
      </c>
      <c r="P25" s="189">
        <f>IF(ISNUMBER(R21)=TRUE,VLOOKUP(L26,'Upis rezultata E sektora'!$D$2:$H$13,5,FALSE),"")</f>
        <v>7</v>
      </c>
      <c r="Q25" s="189">
        <f>IF(ISBLANK(M25)=TRUE,"",IF(ISNUMBER(R21)=TRUE,VLOOKUP(M25,'Pojedinačni plasman'!$A$6:$G$65,7,FALSE),""))</f>
        <v>35</v>
      </c>
      <c r="R25" s="474"/>
      <c r="S25" s="475"/>
    </row>
    <row r="26" spans="3:19" s="83" customFormat="1" ht="21" thickBot="1">
      <c r="C26" s="480" t="str">
        <f>IF(ISNONTEXT('Ekipni plasman'!$B$7)=TRUE,"",'Ekipni plasman'!$B$7)</f>
        <v>Jez Jasenovac</v>
      </c>
      <c r="D26" s="481"/>
      <c r="E26" s="482"/>
      <c r="F26" s="190">
        <f>VLOOKUP(C26,'Ekipni plasman'!$B$6:$F$17,3,FALSE)</f>
        <v>16650</v>
      </c>
      <c r="G26" s="351">
        <f>VLOOKUP(C26,'Ekipni plasman'!$B$6:$F$17,2,FALSE)</f>
        <v>17</v>
      </c>
      <c r="H26" s="171"/>
      <c r="I26" s="476"/>
      <c r="J26" s="477"/>
      <c r="L26" s="480" t="str">
        <f>IF(ISNONTEXT('Ekipni plasman'!$B$13)=TRUE,"",'Ekipni plasman'!$B$13)</f>
        <v>Trnje-ŠR Zagreb</v>
      </c>
      <c r="M26" s="481"/>
      <c r="N26" s="482"/>
      <c r="O26" s="190">
        <f>VLOOKUP(L26,'Ekipni plasman'!$B$6:$F$17,3,FALSE)</f>
        <v>7442</v>
      </c>
      <c r="P26" s="351">
        <f>VLOOKUP(L26,'Ekipni plasman'!$B$6:$F$17,2,FALSE)</f>
        <v>36.5</v>
      </c>
      <c r="Q26" s="171"/>
      <c r="R26" s="476"/>
      <c r="S26" s="477"/>
    </row>
    <row r="27" ht="15.75" thickBot="1"/>
    <row r="28" spans="3:19" s="68" customFormat="1" ht="15" customHeight="1">
      <c r="C28" s="180">
        <f>IF(ISNUMBER(E28)=TRUE,VLOOKUP(C33,'Upis rezultata A sektora'!$D$2:$I$13,6,0),"")</f>
        <v>51</v>
      </c>
      <c r="D28" s="181" t="str">
        <f>IF(ISNUMBER(I28)=TRUE,VLOOKUP(C33,'Upis rezultata A sektora'!$D$2:$E$13,2,FALSE),"")</f>
        <v>Zlatko Šapina</v>
      </c>
      <c r="E28" s="182">
        <f>IF(ISNUMBER(I28)=TRUE,VLOOKUP(D28,'Upis rezultata A sektora'!$E$2:$G$13,3,FALSE),"")</f>
        <v>11</v>
      </c>
      <c r="F28" s="183">
        <f>IF(ISNUMBER(E28)=TRUE,VLOOKUP(D28,'Upis rezultata A sektora'!$E$2:$G$13,2,FALSE),"")</f>
        <v>2800</v>
      </c>
      <c r="G28" s="184">
        <f>IF(ISNUMBER(I28)=TRUE,VLOOKUP(C33,'Upis rezultata A sektora'!$D$2:$H$13,5,FALSE),"")</f>
        <v>4</v>
      </c>
      <c r="H28" s="184">
        <f>IF(ISBLANK(D28)=TRUE,"",IF(ISNUMBER(I28)=TRUE,VLOOKUP(D28,'Pojedinačni plasman'!$A$6:$G$65,7,FALSE),""))</f>
        <v>17</v>
      </c>
      <c r="I28" s="472">
        <f>VLOOKUP(C33,'Ekipni plasman'!$B$6:$F$17,5,FALSE)</f>
        <v>3</v>
      </c>
      <c r="J28" s="473"/>
      <c r="L28" s="180">
        <f>IF(ISNUMBER(N28)=TRUE,VLOOKUP(L33,'Upis rezultata A sektora'!$D$2:$I$13,6,0),"")</f>
        <v>41</v>
      </c>
      <c r="M28" s="181" t="str">
        <f>IF(ISNUMBER(R28)=TRUE,VLOOKUP(L33,'Upis rezultata A sektora'!$D$2:$E$13,2,FALSE),"")</f>
        <v>Domagoj Ceković</v>
      </c>
      <c r="N28" s="182">
        <f>IF(ISNUMBER(R28)=TRUE,VLOOKUP(M28,'Upis rezultata A sektora'!$E$2:$G$13,3,FALSE),"")</f>
        <v>9</v>
      </c>
      <c r="O28" s="183">
        <f>IF(ISNUMBER(N28)=TRUE,VLOOKUP(M28,'Upis rezultata A sektora'!$E$2:$G$13,2,FALSE),"")</f>
        <v>1470</v>
      </c>
      <c r="P28" s="184">
        <f>IF(ISNUMBER(R28)=TRUE,VLOOKUP(L33,'Upis rezultata A sektora'!$D$2:$H$13,5,FALSE),"")</f>
        <v>8</v>
      </c>
      <c r="Q28" s="184">
        <f>IF(ISBLANK(M28)=TRUE,"",IF(ISNUMBER(R28)=TRUE,VLOOKUP(M28,'Pojedinačni plasman'!$A$6:$G$65,7,FALSE),""))</f>
        <v>36</v>
      </c>
      <c r="R28" s="472">
        <f>VLOOKUP(L33,'Ekipni plasman'!$B$6:$F$17,5,FALSE)</f>
        <v>9</v>
      </c>
      <c r="S28" s="473"/>
    </row>
    <row r="29" spans="3:19" s="68" customFormat="1" ht="15.75" customHeight="1">
      <c r="C29" s="185">
        <f>IF(ISNUMBER(E29)=TRUE,VLOOKUP(C33,'Upis rezultata B sektora'!$D$2:$G$13,4,0),"")</f>
        <v>52</v>
      </c>
      <c r="D29" s="186" t="str">
        <f>IF(ISNUMBER(I28)=TRUE,VLOOKUP(C33,'Upis rezultata B sektora'!$D$2:$E$13,2,FALSE),"")</f>
        <v>Tomislav Duković</v>
      </c>
      <c r="E29" s="187">
        <f>IF(ISNUMBER(I28)=TRUE,VLOOKUP(D29,'Upis rezultata B sektora'!$E$2:$I$13,5,FALSE),"")</f>
        <v>11</v>
      </c>
      <c r="F29" s="188">
        <f>IF(ISNUMBER(E29)=TRUE,VLOOKUP(D29,'Upis rezultata B sektora'!$E$2:$G$13,2,FALSE),"")</f>
        <v>1765</v>
      </c>
      <c r="G29" s="189">
        <f>IF(ISNUMBER(I28)=TRUE,VLOOKUP(C33,'Upis rezultata B sektora'!$D$2:$H$13,5,FALSE),"")</f>
        <v>8.5</v>
      </c>
      <c r="H29" s="189">
        <f>IF(ISBLANK(D29)=TRUE,"",IF(ISNUMBER(I28)=TRUE,VLOOKUP(D29,'Pojedinačni plasman'!$A$6:$G$65,7,FALSE),""))</f>
        <v>39</v>
      </c>
      <c r="I29" s="474"/>
      <c r="J29" s="475"/>
      <c r="L29" s="185">
        <f>IF(ISNUMBER(N29)=TRUE,VLOOKUP(L33,'Upis rezultata B sektora'!$D$2:$G$13,4,0),"")</f>
        <v>42</v>
      </c>
      <c r="M29" s="186" t="str">
        <f>IF(ISNUMBER(R28)=TRUE,VLOOKUP(L33,'Upis rezultata B sektora'!$D$2:$E$13,2,FALSE),"")</f>
        <v>Smail Habibović</v>
      </c>
      <c r="N29" s="187">
        <f>IF(ISNUMBER(R28)=TRUE,VLOOKUP(M29,'Upis rezultata B sektora'!$E$2:$I$13,5,FALSE),"")</f>
        <v>9</v>
      </c>
      <c r="O29" s="188">
        <f>IF(ISNUMBER(N29)=TRUE,VLOOKUP(M29,'Upis rezultata B sektora'!$E$2:$G$13,2,FALSE),"")</f>
        <v>1119</v>
      </c>
      <c r="P29" s="189">
        <f>IF(ISNUMBER(R28)=TRUE,VLOOKUP(L33,'Upis rezultata B sektora'!$D$2:$H$13,5,FALSE),"")</f>
        <v>10.5</v>
      </c>
      <c r="Q29" s="189">
        <f>IF(ISBLANK(M29)=TRUE,"",IF(ISNUMBER(R28)=TRUE,VLOOKUP(M29,'Pojedinačni plasman'!$A$6:$G$65,7,FALSE),""))</f>
        <v>50</v>
      </c>
      <c r="R29" s="474"/>
      <c r="S29" s="475"/>
    </row>
    <row r="30" spans="3:19" s="68" customFormat="1" ht="15.75" customHeight="1">
      <c r="C30" s="185">
        <f>IF(ISNUMBER(E30)=TRUE,VLOOKUP(C33,'Upis rezultata C sektora'!$D$2:$G$13,4,0),"")</f>
        <v>53</v>
      </c>
      <c r="D30" s="186" t="str">
        <f>IF(ISNUMBER(I28)=TRUE,VLOOKUP(C33,'Upis rezultata C sektora'!$D$2:$E$13,2,FALSE),"")</f>
        <v>Dražen Červeni</v>
      </c>
      <c r="E30" s="187">
        <f>IF(ISNUMBER(I28)=TRUE,VLOOKUP(D30,'Upis rezultata C sektora'!$E$2:$I$13,5,FALSE),"")</f>
        <v>11</v>
      </c>
      <c r="F30" s="188">
        <f>IF(ISNUMBER(E30)=TRUE,VLOOKUP(D30,'Upis rezultata C sektora'!$E$2:$G$13,2,FALSE),"")</f>
        <v>1765</v>
      </c>
      <c r="G30" s="189">
        <f>IF(ISNUMBER(I28)=TRUE,VLOOKUP(C33,'Upis rezultata C sektora'!$D$2:$H$13,5,FALSE),"")</f>
        <v>6.5</v>
      </c>
      <c r="H30" s="189">
        <f>IF(ISBLANK(D30)=TRUE,"",IF(ISNUMBER(I28)=TRUE,VLOOKUP(D30,'Pojedinačni plasman'!$A$6:$G$65,7,FALSE),""))</f>
        <v>30</v>
      </c>
      <c r="I30" s="474"/>
      <c r="J30" s="475"/>
      <c r="L30" s="185">
        <f>IF(ISNUMBER(N30)=TRUE,VLOOKUP(L33,'Upis rezultata C sektora'!$D$2:$G$13,4,0),"")</f>
        <v>43</v>
      </c>
      <c r="M30" s="186" t="str">
        <f>IF(ISNUMBER(R28)=TRUE,VLOOKUP(L33,'Upis rezultata C sektora'!$D$2:$E$13,2,FALSE),"")</f>
        <v>Dejan Vondrak</v>
      </c>
      <c r="N30" s="187">
        <f>IF(ISNUMBER(R28)=TRUE,VLOOKUP(M30,'Upis rezultata C sektora'!$E$2:$I$13,5,FALSE),"")</f>
        <v>9</v>
      </c>
      <c r="O30" s="188">
        <f>IF(ISNUMBER(N30)=TRUE,VLOOKUP(M30,'Upis rezultata C sektora'!$E$2:$G$13,2,FALSE),"")</f>
        <v>608</v>
      </c>
      <c r="P30" s="189">
        <f>IF(ISNUMBER(R28)=TRUE,VLOOKUP(L33,'Upis rezultata C sektora'!$D$2:$H$13,5,FALSE),"")</f>
        <v>12</v>
      </c>
      <c r="Q30" s="189">
        <f>IF(ISBLANK(M30)=TRUE,"",IF(ISNUMBER(R28)=TRUE,VLOOKUP(M30,'Pojedinačni plasman'!$A$6:$G$65,7,FALSE),""))</f>
        <v>58</v>
      </c>
      <c r="R30" s="474"/>
      <c r="S30" s="475"/>
    </row>
    <row r="31" spans="3:19" s="68" customFormat="1" ht="15.75" customHeight="1">
      <c r="C31" s="185">
        <f>IF(ISNUMBER(E31)=TRUE,VLOOKUP(C33,'Upis rezultata D sektora'!$D$2:$G$13,4,0),"")</f>
        <v>54</v>
      </c>
      <c r="D31" s="186" t="str">
        <f>IF(ISNUMBER(I28)=TRUE,VLOOKUP(C33,'Upis rezultata D sektora'!$D$2:$E$13,2,FALSE),"")</f>
        <v>Bengez Dražen</v>
      </c>
      <c r="E31" s="187">
        <f>IF(ISNUMBER(I28)=TRUE,VLOOKUP(D31,'Upis rezultata D sektora'!$E$2:$I$13,5,FALSE),"")</f>
        <v>11</v>
      </c>
      <c r="F31" s="188">
        <f>IF(ISNUMBER(E31)=TRUE,VLOOKUP(D31,'Upis rezultata D sektora'!$E$2:$G$13,2,FALSE),"")</f>
        <v>1765</v>
      </c>
      <c r="G31" s="189">
        <f>IF(ISNUMBER(I28)=TRUE,VLOOKUP(C33,'Upis rezultata D sektora'!$D$2:$H$13,5,FALSE),"")</f>
        <v>5.5</v>
      </c>
      <c r="H31" s="189">
        <f>IF(ISBLANK(D31)=TRUE,"",IF(ISNUMBER(I28)=TRUE,VLOOKUP(D31,'Pojedinačni plasman'!$A$6:$G$65,7,FALSE),""))</f>
        <v>25</v>
      </c>
      <c r="I31" s="474"/>
      <c r="J31" s="475"/>
      <c r="L31" s="185">
        <f>IF(ISNUMBER(N31)=TRUE,VLOOKUP(L33,'Upis rezultata D sektora'!$D$2:$G$13,4,0),"")</f>
        <v>44</v>
      </c>
      <c r="M31" s="186" t="str">
        <f>IF(ISNUMBER(R28)=TRUE,VLOOKUP(L33,'Upis rezultata D sektora'!$D$2:$E$13,2,FALSE),"")</f>
        <v>Zdravko Vrbanek</v>
      </c>
      <c r="N31" s="187">
        <f>IF(ISNUMBER(R28)=TRUE,VLOOKUP(M31,'Upis rezultata D sektora'!$E$2:$I$13,5,FALSE),"")</f>
        <v>9</v>
      </c>
      <c r="O31" s="188">
        <f>IF(ISNUMBER(N31)=TRUE,VLOOKUP(M31,'Upis rezultata D sektora'!$E$2:$G$13,2,FALSE),"")</f>
        <v>1790</v>
      </c>
      <c r="P31" s="189">
        <f>IF(ISNUMBER(R28)=TRUE,VLOOKUP(L33,'Upis rezultata D sektora'!$D$2:$H$13,5,FALSE),"")</f>
        <v>4</v>
      </c>
      <c r="Q31" s="189">
        <f>IF(ISBLANK(M31)=TRUE,"",IF(ISNUMBER(R28)=TRUE,VLOOKUP(M31,'Pojedinačni plasman'!$A$6:$G$65,7,FALSE),""))</f>
        <v>20</v>
      </c>
      <c r="R31" s="474"/>
      <c r="S31" s="475"/>
    </row>
    <row r="32" spans="3:19" s="68" customFormat="1" ht="15.75" customHeight="1">
      <c r="C32" s="185">
        <f>IF(ISNUMBER(E32)=TRUE,VLOOKUP(C33,'Upis rezultata E sektora'!$D$2:$G$13,4,0),"")</f>
        <v>55</v>
      </c>
      <c r="D32" s="186" t="str">
        <f>IF(ISNUMBER(I28)=TRUE,VLOOKUP(C33,'Upis rezultata E sektora'!$D$2:$E$13,2,FALSE),"")</f>
        <v>Josip Kutlić</v>
      </c>
      <c r="E32" s="187">
        <f>IF(ISNUMBER(I28)=TRUE,VLOOKUP(D32,'Upis rezultata E sektora'!$E$2:$I$13,5,FALSE),"")</f>
        <v>11</v>
      </c>
      <c r="F32" s="188">
        <f>IF(ISNUMBER(E32)=TRUE,VLOOKUP(D32,'Upis rezultata E sektora'!$E$2:$G$13,2,FALSE),"")</f>
        <v>1765</v>
      </c>
      <c r="G32" s="189">
        <f>IF(ISNUMBER(I28)=TRUE,VLOOKUP(C33,'Upis rezultata E sektora'!$D$2:$H$13,5,FALSE),"")</f>
        <v>3.5</v>
      </c>
      <c r="H32" s="189">
        <f>IF(ISBLANK(D32)=TRUE,"",IF(ISNUMBER(I28)=TRUE,VLOOKUP(D32,'Pojedinačni plasman'!$A$6:$G$65,7,FALSE),""))</f>
        <v>15</v>
      </c>
      <c r="I32" s="474"/>
      <c r="J32" s="475"/>
      <c r="L32" s="185">
        <f>IF(ISNUMBER(N32)=TRUE,VLOOKUP(L33,'Upis rezultata E sektora'!$D$2:$G$13,4,0),"")</f>
        <v>45</v>
      </c>
      <c r="M32" s="186" t="str">
        <f>IF(ISNUMBER(R28)=TRUE,VLOOKUP(L33,'Upis rezultata E sektora'!$D$2:$E$13,2,FALSE),"")</f>
        <v>Damir Jauševac</v>
      </c>
      <c r="N32" s="187">
        <f>IF(ISNUMBER(R28)=TRUE,VLOOKUP(M32,'Upis rezultata E sektora'!$E$2:$I$13,5,FALSE),"")</f>
        <v>9</v>
      </c>
      <c r="O32" s="188">
        <f>IF(ISNUMBER(N32)=TRUE,VLOOKUP(M32,'Upis rezultata E sektora'!$E$2:$G$13,2,FALSE),"")</f>
        <v>1498</v>
      </c>
      <c r="P32" s="189">
        <f>IF(ISNUMBER(R28)=TRUE,VLOOKUP(L33,'Upis rezultata E sektora'!$D$2:$H$13,5,FALSE),"")</f>
        <v>5</v>
      </c>
      <c r="Q32" s="189">
        <f>IF(ISBLANK(M32)=TRUE,"",IF(ISNUMBER(R28)=TRUE,VLOOKUP(M32,'Pojedinačni plasman'!$A$6:$G$65,7,FALSE),""))</f>
        <v>1</v>
      </c>
      <c r="R32" s="474"/>
      <c r="S32" s="475"/>
    </row>
    <row r="33" spans="3:19" s="83" customFormat="1" ht="21" thickBot="1">
      <c r="C33" s="480" t="str">
        <f>IF(ISNONTEXT('Ekipni plasman'!$B$8)=TRUE,"",'Ekipni plasman'!$B$8)</f>
        <v>Ilova Garešnica</v>
      </c>
      <c r="D33" s="481"/>
      <c r="E33" s="482"/>
      <c r="F33" s="190">
        <f>VLOOKUP(C33,'Ekipni plasman'!$B$6:$F$17,3,FALSE)</f>
        <v>9860</v>
      </c>
      <c r="G33" s="351">
        <f>VLOOKUP(C33,'Ekipni plasman'!$B$6:$F$17,2,FALSE)</f>
        <v>28</v>
      </c>
      <c r="H33" s="171"/>
      <c r="I33" s="476"/>
      <c r="J33" s="477"/>
      <c r="L33" s="480" t="str">
        <f>IF(ISNONTEXT('Ekipni plasman'!$B$14)=TRUE,"",'Ekipni plasman'!$B$14)</f>
        <v>Bjelka GME Sunja</v>
      </c>
      <c r="M33" s="481"/>
      <c r="N33" s="482"/>
      <c r="O33" s="190">
        <f>VLOOKUP(L33,'Ekipni plasman'!$B$6:$F$17,3,FALSE)</f>
        <v>6485</v>
      </c>
      <c r="P33" s="351">
        <f>VLOOKUP(L33,'Ekipni plasman'!$B$6:$F$17,2,FALSE)</f>
        <v>39.5</v>
      </c>
      <c r="Q33" s="171"/>
      <c r="R33" s="476"/>
      <c r="S33" s="477"/>
    </row>
    <row r="34" ht="15.75" thickBot="1"/>
    <row r="35" spans="3:19" s="68" customFormat="1" ht="15" customHeight="1">
      <c r="C35" s="180">
        <f>IF(ISNUMBER(E35)=TRUE,VLOOKUP(C40,'Upis rezultata A sektora'!$D$2:$I$13,6,0),"")</f>
        <v>11</v>
      </c>
      <c r="D35" s="181" t="str">
        <f>IF(ISNUMBER(I35)=TRUE,VLOOKUP(C40,'Upis rezultata A sektora'!$D$2:$E$13,2,FALSE),"")</f>
        <v>Mladen Kečkeš</v>
      </c>
      <c r="E35" s="182">
        <f>IF(ISNUMBER(I35)=TRUE,VLOOKUP(D35,'Upis rezultata A sektora'!$E$2:$G$13,3,FALSE),"")</f>
        <v>3</v>
      </c>
      <c r="F35" s="183">
        <f>IF(ISNUMBER(E35)=TRUE,VLOOKUP(D35,'Upis rezultata A sektora'!$E$2:$G$13,2,FALSE),"")</f>
        <v>2978</v>
      </c>
      <c r="G35" s="184">
        <f>IF(ISNUMBER(I35)=TRUE,VLOOKUP(C40,'Upis rezultata A sektora'!$D$2:$H$13,5,FALSE),"")</f>
        <v>3</v>
      </c>
      <c r="H35" s="184">
        <f>IF(ISBLANK(D35)=TRUE,"",IF(ISNUMBER(I35)=TRUE,VLOOKUP(D35,'Pojedinačni plasman'!$A$6:$G$65,7,FALSE),""))</f>
        <v>12</v>
      </c>
      <c r="I35" s="472">
        <f>VLOOKUP(C40,'Ekipni plasman'!$B$6:$F$17,5,FALSE)</f>
        <v>4</v>
      </c>
      <c r="J35" s="473"/>
      <c r="L35" s="180">
        <f>IF(ISNUMBER(N35)=TRUE,VLOOKUP(L40,'Upis rezultata A sektora'!$D$2:$I$13,6,0),"")</f>
        <v>36</v>
      </c>
      <c r="M35" s="181" t="str">
        <f>IF(ISNUMBER(R35)=TRUE,VLOOKUP(L40,'Upis rezultata A sektora'!$D$2:$E$13,2,FALSE),"")</f>
        <v>Damir Dević</v>
      </c>
      <c r="N35" s="182">
        <f>IF(ISNUMBER(R35)=TRUE,VLOOKUP(M35,'Upis rezultata A sektora'!$E$2:$G$13,3,FALSE),"")</f>
        <v>8</v>
      </c>
      <c r="O35" s="183">
        <f>IF(ISNUMBER(N35)=TRUE,VLOOKUP(M35,'Upis rezultata A sektora'!$E$2:$G$13,2,FALSE),"")</f>
        <v>1125</v>
      </c>
      <c r="P35" s="184">
        <f>IF(ISNUMBER(R35)=TRUE,VLOOKUP(L40,'Upis rezultata A sektora'!$D$2:$H$13,5,FALSE),"")</f>
        <v>9</v>
      </c>
      <c r="Q35" s="184">
        <f>IF(ISBLANK(M35)=TRUE,"",IF(ISNUMBER(R35)=TRUE,VLOOKUP(M35,'Pojedinačni plasman'!$A$6:$G$65,7,FALSE),""))</f>
        <v>45</v>
      </c>
      <c r="R35" s="472">
        <f>VLOOKUP(L40,'Ekipni plasman'!$B$6:$F$17,5,FALSE)</f>
        <v>10</v>
      </c>
      <c r="S35" s="473"/>
    </row>
    <row r="36" spans="3:19" s="68" customFormat="1" ht="15.75" customHeight="1">
      <c r="C36" s="185">
        <f>IF(ISNUMBER(E36)=TRUE,VLOOKUP(C40,'Upis rezultata B sektora'!$D$2:$G$13,4,0),"")</f>
        <v>12</v>
      </c>
      <c r="D36" s="186" t="str">
        <f>IF(ISNUMBER(I35)=TRUE,VLOOKUP(C40,'Upis rezultata B sektora'!$D$2:$E$13,2,FALSE),"")</f>
        <v>Martin Vrčković</v>
      </c>
      <c r="E36" s="187">
        <f>IF(ISNUMBER(I35)=TRUE,VLOOKUP(D36,'Upis rezultata B sektora'!$E$2:$I$13,5,FALSE),"")</f>
        <v>3</v>
      </c>
      <c r="F36" s="188">
        <f>IF(ISNUMBER(E36)=TRUE,VLOOKUP(D36,'Upis rezultata B sektora'!$E$2:$G$13,2,FALSE),"")</f>
        <v>2452</v>
      </c>
      <c r="G36" s="189">
        <f>IF(ISNUMBER(I35)=TRUE,VLOOKUP(C40,'Upis rezultata B sektora'!$D$2:$H$13,5,FALSE),"")</f>
        <v>4</v>
      </c>
      <c r="H36" s="189">
        <f>IF(ISBLANK(D36)=TRUE,"",IF(ISNUMBER(I35)=TRUE,VLOOKUP(D36,'Pojedinačni plasman'!$A$6:$G$65,7,FALSE),""))</f>
        <v>18</v>
      </c>
      <c r="I36" s="474"/>
      <c r="J36" s="475"/>
      <c r="L36" s="185">
        <f>IF(ISNUMBER(N36)=TRUE,VLOOKUP(L40,'Upis rezultata B sektora'!$D$2:$G$13,4,0),"")</f>
        <v>37</v>
      </c>
      <c r="M36" s="186" t="str">
        <f>IF(ISNUMBER(R35)=TRUE,VLOOKUP(L40,'Upis rezultata B sektora'!$D$2:$E$13,2,FALSE),"")</f>
        <v>Mario Akmačić</v>
      </c>
      <c r="N36" s="187">
        <f>IF(ISNUMBER(R35)=TRUE,VLOOKUP(M36,'Upis rezultata B sektora'!$E$2:$I$13,5,FALSE),"")</f>
        <v>8</v>
      </c>
      <c r="O36" s="188">
        <f>IF(ISNUMBER(N36)=TRUE,VLOOKUP(M36,'Upis rezultata B sektora'!$E$2:$G$13,2,FALSE),"")</f>
        <v>1953</v>
      </c>
      <c r="P36" s="189">
        <f>IF(ISNUMBER(R35)=TRUE,VLOOKUP(L40,'Upis rezultata B sektora'!$D$2:$H$13,5,FALSE),"")</f>
        <v>6</v>
      </c>
      <c r="Q36" s="189">
        <f>IF(ISBLANK(M36)=TRUE,"",IF(ISNUMBER(R35)=TRUE,VLOOKUP(M36,'Pojedinačni plasman'!$A$6:$G$65,7,FALSE),""))</f>
        <v>13</v>
      </c>
      <c r="R36" s="474"/>
      <c r="S36" s="475"/>
    </row>
    <row r="37" spans="3:19" s="68" customFormat="1" ht="15.75" customHeight="1">
      <c r="C37" s="185">
        <f>IF(ISNUMBER(E37)=TRUE,VLOOKUP(C40,'Upis rezultata C sektora'!$D$2:$G$13,4,0),"")</f>
        <v>13</v>
      </c>
      <c r="D37" s="186" t="str">
        <f>IF(ISNUMBER(I35)=TRUE,VLOOKUP(C40,'Upis rezultata C sektora'!$D$2:$E$13,2,FALSE),"")</f>
        <v>Stjepan Gorički</v>
      </c>
      <c r="E37" s="187">
        <f>IF(ISNUMBER(I35)=TRUE,VLOOKUP(D37,'Upis rezultata C sektora'!$E$2:$I$13,5,FALSE),"")</f>
        <v>3</v>
      </c>
      <c r="F37" s="188">
        <f>IF(ISNUMBER(E37)=TRUE,VLOOKUP(D37,'Upis rezultata C sektora'!$E$2:$G$13,2,FALSE),"")</f>
        <v>4740</v>
      </c>
      <c r="G37" s="189">
        <f>IF(ISNUMBER(I35)=TRUE,VLOOKUP(C40,'Upis rezultata C sektora'!$D$2:$H$13,5,FALSE),"")</f>
        <v>2</v>
      </c>
      <c r="H37" s="189">
        <f>IF(ISBLANK(D37)=TRUE,"",IF(ISNUMBER(I35)=TRUE,VLOOKUP(D37,'Pojedinačni plasman'!$A$6:$G$65,7,FALSE),""))</f>
        <v>6</v>
      </c>
      <c r="I37" s="474"/>
      <c r="J37" s="475"/>
      <c r="L37" s="185">
        <f>IF(ISNUMBER(N37)=TRUE,VLOOKUP(L40,'Upis rezultata C sektora'!$D$2:$G$13,4,0),"")</f>
        <v>38</v>
      </c>
      <c r="M37" s="186" t="str">
        <f>IF(ISNUMBER(R35)=TRUE,VLOOKUP(L40,'Upis rezultata C sektora'!$D$2:$E$13,2,FALSE),"")</f>
        <v>Petar Petrović</v>
      </c>
      <c r="N37" s="187">
        <f>IF(ISNUMBER(R35)=TRUE,VLOOKUP(M37,'Upis rezultata C sektora'!$E$2:$I$13,5,FALSE),"")</f>
        <v>8</v>
      </c>
      <c r="O37" s="188">
        <f>IF(ISNUMBER(N37)=TRUE,VLOOKUP(M37,'Upis rezultata C sektora'!$E$2:$G$13,2,FALSE),"")</f>
        <v>1325</v>
      </c>
      <c r="P37" s="189">
        <f>IF(ISNUMBER(R35)=TRUE,VLOOKUP(L40,'Upis rezultata C sektora'!$D$2:$H$13,5,FALSE),"")</f>
        <v>9</v>
      </c>
      <c r="Q37" s="189">
        <f>IF(ISBLANK(M37)=TRUE,"",IF(ISNUMBER(R35)=TRUE,VLOOKUP(M37,'Pojedinačni plasman'!$A$6:$G$65,7,FALSE),""))</f>
        <v>43</v>
      </c>
      <c r="R37" s="474"/>
      <c r="S37" s="475"/>
    </row>
    <row r="38" spans="3:19" s="68" customFormat="1" ht="15.75" customHeight="1">
      <c r="C38" s="185">
        <f>IF(ISNUMBER(E38)=TRUE,VLOOKUP(C40,'Upis rezultata D sektora'!$D$2:$G$13,4,0),"")</f>
        <v>14</v>
      </c>
      <c r="D38" s="186" t="str">
        <f>IF(ISNUMBER(I35)=TRUE,VLOOKUP(C40,'Upis rezultata D sektora'!$D$2:$E$13,2,FALSE),"")</f>
        <v>Zlatko Novačić</v>
      </c>
      <c r="E38" s="187">
        <f>IF(ISNUMBER(I35)=TRUE,VLOOKUP(D38,'Upis rezultata D sektora'!$E$2:$I$13,5,FALSE),"")</f>
        <v>3</v>
      </c>
      <c r="F38" s="188">
        <f>IF(ISNUMBER(E38)=TRUE,VLOOKUP(D38,'Upis rezultata D sektora'!$E$2:$G$13,2,FALSE),"")</f>
        <v>1256</v>
      </c>
      <c r="G38" s="189">
        <f>IF(ISNUMBER(I35)=TRUE,VLOOKUP(C40,'Upis rezultata D sektora'!$D$2:$H$13,5,FALSE),"")</f>
        <v>10</v>
      </c>
      <c r="H38" s="189">
        <f>IF(ISBLANK(D38)=TRUE,"",IF(ISNUMBER(I35)=TRUE,VLOOKUP(D38,'Pojedinačni plasman'!$A$6:$G$65,7,FALSE),""))</f>
        <v>46</v>
      </c>
      <c r="I38" s="474"/>
      <c r="J38" s="475"/>
      <c r="L38" s="185">
        <f>IF(ISNUMBER(N38)=TRUE,VLOOKUP(L40,'Upis rezultata D sektora'!$D$2:$G$13,4,0),"")</f>
        <v>39</v>
      </c>
      <c r="M38" s="186" t="str">
        <f>IF(ISNUMBER(R35)=TRUE,VLOOKUP(L40,'Upis rezultata D sektora'!$D$2:$E$13,2,FALSE),"")</f>
        <v>Goran Funes</v>
      </c>
      <c r="N38" s="187">
        <f>IF(ISNUMBER(R35)=TRUE,VLOOKUP(M38,'Upis rezultata D sektora'!$E$2:$I$13,5,FALSE),"")</f>
        <v>8</v>
      </c>
      <c r="O38" s="188">
        <f>IF(ISNUMBER(N38)=TRUE,VLOOKUP(M38,'Upis rezultata D sektora'!$E$2:$G$13,2,FALSE),"")</f>
        <v>480</v>
      </c>
      <c r="P38" s="189">
        <f>IF(ISNUMBER(R35)=TRUE,VLOOKUP(L40,'Upis rezultata D sektora'!$D$2:$H$13,5,FALSE),"")</f>
        <v>12</v>
      </c>
      <c r="Q38" s="189">
        <f>IF(ISBLANK(M38)=TRUE,"",IF(ISNUMBER(R35)=TRUE,VLOOKUP(M38,'Pojedinačni plasman'!$A$6:$G$65,7,FALSE),""))</f>
        <v>59</v>
      </c>
      <c r="R38" s="474"/>
      <c r="S38" s="475"/>
    </row>
    <row r="39" spans="3:19" s="68" customFormat="1" ht="15.75" customHeight="1">
      <c r="C39" s="185">
        <f>IF(ISNUMBER(E39)=TRUE,VLOOKUP(C40,'Upis rezultata E sektora'!$D$2:$G$13,4,0),"")</f>
        <v>15</v>
      </c>
      <c r="D39" s="186" t="str">
        <f>IF(ISNUMBER(I35)=TRUE,VLOOKUP(C40,'Upis rezultata E sektora'!$D$2:$E$13,2,FALSE),"")</f>
        <v>Zlatko Auker</v>
      </c>
      <c r="E39" s="187">
        <f>IF(ISNUMBER(I35)=TRUE,VLOOKUP(D39,'Upis rezultata E sektora'!$E$2:$I$13,5,FALSE),"")</f>
        <v>3</v>
      </c>
      <c r="F39" s="188">
        <f>IF(ISNUMBER(E39)=TRUE,VLOOKUP(D39,'Upis rezultata E sektora'!$E$2:$G$13,2,FALSE),"")</f>
        <v>1256</v>
      </c>
      <c r="G39" s="189">
        <f>IF(ISNUMBER(I35)=TRUE,VLOOKUP(C40,'Upis rezultata E sektora'!$D$2:$H$13,5,FALSE),"")</f>
        <v>10.5</v>
      </c>
      <c r="H39" s="189">
        <f>IF(ISBLANK(D39)=TRUE,"",IF(ISNUMBER(I35)=TRUE,VLOOKUP(D39,'Pojedinačni plasman'!$A$6:$G$65,7,FALSE),""))</f>
        <v>48</v>
      </c>
      <c r="I39" s="474"/>
      <c r="J39" s="475"/>
      <c r="L39" s="185">
        <f>IF(ISNUMBER(N39)=TRUE,VLOOKUP(L40,'Upis rezultata E sektora'!$D$2:$G$13,4,0),"")</f>
        <v>40</v>
      </c>
      <c r="M39" s="186" t="str">
        <f>IF(ISNUMBER(R35)=TRUE,VLOOKUP(L40,'Upis rezultata E sektora'!$D$2:$E$13,2,FALSE),"")</f>
        <v>Stiven Palijan</v>
      </c>
      <c r="N39" s="187">
        <f>IF(ISNUMBER(R35)=TRUE,VLOOKUP(M39,'Upis rezultata E sektora'!$E$2:$I$13,5,FALSE),"")</f>
        <v>8</v>
      </c>
      <c r="O39" s="188">
        <f>IF(ISNUMBER(N39)=TRUE,VLOOKUP(M39,'Upis rezultata E sektora'!$E$2:$G$13,2,FALSE),"")</f>
        <v>1497</v>
      </c>
      <c r="P39" s="189">
        <f>IF(ISNUMBER(R35)=TRUE,VLOOKUP(L40,'Upis rezultata E sektora'!$D$2:$H$13,5,FALSE),"")</f>
        <v>6</v>
      </c>
      <c r="Q39" s="189">
        <f>IF(ISBLANK(M39)=TRUE,"",IF(ISNUMBER(R35)=TRUE,VLOOKUP(M39,'Pojedinačni plasman'!$A$6:$G$65,7,FALSE),""))</f>
        <v>29</v>
      </c>
      <c r="R39" s="474"/>
      <c r="S39" s="475"/>
    </row>
    <row r="40" spans="3:19" s="83" customFormat="1" ht="21" thickBot="1">
      <c r="C40" s="480" t="str">
        <f>IF(ISNONTEXT('Ekipni plasman'!$B$9)=TRUE,"",'Ekipni plasman'!$B$9)</f>
        <v>Rak Rakitje</v>
      </c>
      <c r="D40" s="481"/>
      <c r="E40" s="482"/>
      <c r="F40" s="190">
        <f>VLOOKUP(C40,'Ekipni plasman'!$B$6:$F$17,3,FALSE)</f>
        <v>12682</v>
      </c>
      <c r="G40" s="351">
        <f>VLOOKUP(C40,'Ekipni plasman'!$B$6:$F$17,2,FALSE)</f>
        <v>29.5</v>
      </c>
      <c r="H40" s="171"/>
      <c r="I40" s="476"/>
      <c r="J40" s="477"/>
      <c r="L40" s="480" t="str">
        <f>IF(ISNONTEXT('Ekipni plasman'!$B$15)=TRUE,"",'Ekipni plasman'!$B$15)</f>
        <v>Klen N.Gradiška</v>
      </c>
      <c r="M40" s="481"/>
      <c r="N40" s="482"/>
      <c r="O40" s="190">
        <f>VLOOKUP(L40,'Ekipni plasman'!$B$6:$F$17,3,FALSE)</f>
        <v>6380</v>
      </c>
      <c r="P40" s="351">
        <f>VLOOKUP(L40,'Ekipni plasman'!$B$6:$F$17,2,FALSE)</f>
        <v>42</v>
      </c>
      <c r="Q40" s="171"/>
      <c r="R40" s="476"/>
      <c r="S40" s="477"/>
    </row>
    <row r="41" ht="15.75" thickBot="1"/>
    <row r="42" spans="3:19" s="68" customFormat="1" ht="15" customHeight="1">
      <c r="C42" s="180">
        <f>IF(ISNUMBER(E42)=TRUE,VLOOKUP(C47,'Upis rezultata A sektora'!$D$2:$I$13,6,0),"")</f>
        <v>46</v>
      </c>
      <c r="D42" s="181" t="str">
        <f>IF(ISNUMBER(I42)=TRUE,VLOOKUP(C47,'Upis rezultata A sektora'!$D$2:$E$13,2,FALSE),"")</f>
        <v>Dalibor Agbaba</v>
      </c>
      <c r="E42" s="182">
        <f>IF(ISNUMBER(I42)=TRUE,VLOOKUP(D42,'Upis rezultata A sektora'!$E$2:$G$13,3,FALSE),"")</f>
        <v>10</v>
      </c>
      <c r="F42" s="183">
        <f>IF(ISNUMBER(E42)=TRUE,VLOOKUP(D42,'Upis rezultata A sektora'!$E$2:$G$13,2,FALSE),"")</f>
        <v>1765</v>
      </c>
      <c r="G42" s="184">
        <f>IF(ISNUMBER(I42)=TRUE,VLOOKUP(C47,'Upis rezultata A sektora'!$D$2:$H$13,5,FALSE),"")</f>
        <v>6</v>
      </c>
      <c r="H42" s="184">
        <f>IF(ISBLANK(D42)=TRUE,"",IF(ISNUMBER(I42)=TRUE,VLOOKUP(D42,'Pojedinačni plasman'!$A$6:$G$65,7,FALSE),""))</f>
        <v>28</v>
      </c>
      <c r="I42" s="472">
        <f>VLOOKUP(C47,'Ekipni plasman'!$B$6:$F$17,5,FALSE)</f>
        <v>5</v>
      </c>
      <c r="J42" s="473"/>
      <c r="L42" s="180">
        <f>IF(ISNUMBER(N42)=TRUE,VLOOKUP(L47,'Upis rezultata A sektora'!$D$2:$I$13,6,0),"")</f>
        <v>21</v>
      </c>
      <c r="M42" s="181" t="str">
        <f>IF(ISNUMBER(R42)=TRUE,VLOOKUP(L47,'Upis rezultata A sektora'!$D$2:$E$13,2,FALSE),"")</f>
        <v>Ivica Bonino Hasan</v>
      </c>
      <c r="N42" s="182">
        <f>IF(ISNUMBER(R42)=TRUE,VLOOKUP(M42,'Upis rezultata A sektora'!$E$2:$G$13,3,FALSE),"")</f>
        <v>5</v>
      </c>
      <c r="O42" s="183">
        <f>IF(ISNUMBER(N42)=TRUE,VLOOKUP(M42,'Upis rezultata A sektora'!$E$2:$G$13,2,FALSE),"")</f>
        <v>475</v>
      </c>
      <c r="P42" s="184">
        <f>IF(ISNUMBER(R42)=TRUE,VLOOKUP(L47,'Upis rezultata A sektora'!$D$2:$H$13,5,FALSE),"")</f>
        <v>12</v>
      </c>
      <c r="Q42" s="184">
        <f>IF(ISBLANK(M42)=TRUE,"",IF(ISNUMBER(R42)=TRUE,VLOOKUP(M42,'Pojedinačni plasman'!$A$6:$G$65,7,FALSE),""))</f>
        <v>60</v>
      </c>
      <c r="R42" s="472">
        <f>VLOOKUP(L47,'Ekipni plasman'!$B$6:$F$17,5,FALSE)</f>
        <v>11</v>
      </c>
      <c r="S42" s="473"/>
    </row>
    <row r="43" spans="3:19" s="68" customFormat="1" ht="15.75" customHeight="1">
      <c r="C43" s="185">
        <f>IF(ISNUMBER(E43)=TRUE,VLOOKUP(C47,'Upis rezultata B sektora'!$D$2:$G$13,4,0),"")</f>
        <v>47</v>
      </c>
      <c r="D43" s="186" t="str">
        <f>IF(ISNUMBER(I42)=TRUE,VLOOKUP(C47,'Upis rezultata B sektora'!$D$2:$E$13,2,FALSE),"")</f>
        <v>Anđelo Orač</v>
      </c>
      <c r="E43" s="187">
        <f>IF(ISNUMBER(I42)=TRUE,VLOOKUP(D43,'Upis rezultata B sektora'!$E$2:$I$13,5,FALSE),"")</f>
        <v>10</v>
      </c>
      <c r="F43" s="188">
        <f>IF(ISNUMBER(E43)=TRUE,VLOOKUP(D43,'Upis rezultata B sektora'!$E$2:$G$13,2,FALSE),"")</f>
        <v>1765</v>
      </c>
      <c r="G43" s="189">
        <f>IF(ISNUMBER(I42)=TRUE,VLOOKUP(C47,'Upis rezultata B sektora'!$D$2:$H$13,5,FALSE),"")</f>
        <v>8.5</v>
      </c>
      <c r="H43" s="189">
        <f>IF(ISBLANK(D43)=TRUE,"",IF(ISNUMBER(I42)=TRUE,VLOOKUP(D43,'Pojedinačni plasman'!$A$6:$G$65,7,FALSE),""))</f>
        <v>39</v>
      </c>
      <c r="I43" s="474"/>
      <c r="J43" s="475"/>
      <c r="L43" s="185">
        <f>IF(ISNUMBER(N43)=TRUE,VLOOKUP(L47,'Upis rezultata B sektora'!$D$2:$G$13,4,0),"")</f>
        <v>22</v>
      </c>
      <c r="M43" s="186" t="str">
        <f>IF(ISNUMBER(R42)=TRUE,VLOOKUP(L47,'Upis rezultata B sektora'!$D$2:$E$13,2,FALSE),"")</f>
        <v>Tihomir Hunjak</v>
      </c>
      <c r="N43" s="187">
        <f>IF(ISNUMBER(R42)=TRUE,VLOOKUP(M43,'Upis rezultata B sektora'!$E$2:$I$13,5,FALSE),"")</f>
        <v>5</v>
      </c>
      <c r="O43" s="188">
        <f>IF(ISNUMBER(N43)=TRUE,VLOOKUP(M43,'Upis rezultata B sektora'!$E$2:$G$13,2,FALSE),"")</f>
        <v>1004</v>
      </c>
      <c r="P43" s="189">
        <f>IF(ISNUMBER(R42)=TRUE,VLOOKUP(L47,'Upis rezultata B sektora'!$D$2:$H$13,5,FALSE),"")</f>
        <v>12</v>
      </c>
      <c r="Q43" s="189">
        <f>IF(ISBLANK(M43)=TRUE,"",IF(ISNUMBER(R42)=TRUE,VLOOKUP(M43,'Pojedinačni plasman'!$A$6:$G$65,7,FALSE),""))</f>
        <v>57</v>
      </c>
      <c r="R43" s="474"/>
      <c r="S43" s="475"/>
    </row>
    <row r="44" spans="3:19" s="68" customFormat="1" ht="15.75" customHeight="1">
      <c r="C44" s="185">
        <f>IF(ISNUMBER(E44)=TRUE,VLOOKUP(C47,'Upis rezultata C sektora'!$D$2:$G$13,4,0),"")</f>
        <v>48</v>
      </c>
      <c r="D44" s="186" t="str">
        <f>IF(ISNUMBER(I42)=TRUE,VLOOKUP(C47,'Upis rezultata C sektora'!$D$2:$E$13,2,FALSE),"")</f>
        <v>Zlatko Poparić</v>
      </c>
      <c r="E44" s="187">
        <f>IF(ISNUMBER(I42)=TRUE,VLOOKUP(D44,'Upis rezultata C sektora'!$E$2:$I$13,5,FALSE),"")</f>
        <v>10</v>
      </c>
      <c r="F44" s="188">
        <f>IF(ISNUMBER(E44)=TRUE,VLOOKUP(D44,'Upis rezultata C sektora'!$E$2:$G$13,2,FALSE),"")</f>
        <v>1765</v>
      </c>
      <c r="G44" s="189">
        <f>IF(ISNUMBER(I42)=TRUE,VLOOKUP(C47,'Upis rezultata C sektora'!$D$2:$H$13,5,FALSE),"")</f>
        <v>6.5</v>
      </c>
      <c r="H44" s="189">
        <f>IF(ISBLANK(D44)=TRUE,"",IF(ISNUMBER(I42)=TRUE,VLOOKUP(D44,'Pojedinačni plasman'!$A$6:$G$65,7,FALSE),""))</f>
        <v>30</v>
      </c>
      <c r="I44" s="474"/>
      <c r="J44" s="475"/>
      <c r="L44" s="185">
        <f>IF(ISNUMBER(N44)=TRUE,VLOOKUP(L47,'Upis rezultata C sektora'!$D$2:$G$13,4,0),"")</f>
        <v>23</v>
      </c>
      <c r="M44" s="186" t="str">
        <f>IF(ISNUMBER(R42)=TRUE,VLOOKUP(L47,'Upis rezultata C sektora'!$D$2:$E$13,2,FALSE),"")</f>
        <v>Marijan Lisjak</v>
      </c>
      <c r="N44" s="187">
        <f>IF(ISNUMBER(R42)=TRUE,VLOOKUP(M44,'Upis rezultata C sektora'!$E$2:$I$13,5,FALSE),"")</f>
        <v>5</v>
      </c>
      <c r="O44" s="188">
        <f>IF(ISNUMBER(N44)=TRUE,VLOOKUP(M44,'Upis rezultata C sektora'!$E$2:$G$13,2,FALSE),"")</f>
        <v>930</v>
      </c>
      <c r="P44" s="189">
        <f>IF(ISNUMBER(R42)=TRUE,VLOOKUP(L47,'Upis rezultata C sektora'!$D$2:$H$13,5,FALSE),"")</f>
        <v>10</v>
      </c>
      <c r="Q44" s="189">
        <f>IF(ISBLANK(M44)=TRUE,"",IF(ISNUMBER(R42)=TRUE,VLOOKUP(M44,'Pojedinačni plasman'!$A$6:$G$65,7,FALSE),""))</f>
        <v>47</v>
      </c>
      <c r="R44" s="474"/>
      <c r="S44" s="475"/>
    </row>
    <row r="45" spans="3:19" s="68" customFormat="1" ht="15.75" customHeight="1">
      <c r="C45" s="185">
        <f>IF(ISNUMBER(E45)=TRUE,VLOOKUP(C47,'Upis rezultata D sektora'!$D$2:$G$13,4,0),"")</f>
        <v>49</v>
      </c>
      <c r="D45" s="186" t="str">
        <f>IF(ISNUMBER(I42)=TRUE,VLOOKUP(C47,'Upis rezultata D sektora'!$D$2:$E$13,2,FALSE),"")</f>
        <v>Zlatko Kraljević</v>
      </c>
      <c r="E45" s="187">
        <f>IF(ISNUMBER(I42)=TRUE,VLOOKUP(D45,'Upis rezultata D sektora'!$E$2:$I$13,5,FALSE),"")</f>
        <v>10</v>
      </c>
      <c r="F45" s="188">
        <f>IF(ISNUMBER(E45)=TRUE,VLOOKUP(D45,'Upis rezultata D sektora'!$E$2:$G$13,2,FALSE),"")</f>
        <v>1765</v>
      </c>
      <c r="G45" s="189">
        <f>IF(ISNUMBER(I42)=TRUE,VLOOKUP(C47,'Upis rezultata D sektora'!$D$2:$H$13,5,FALSE),"")</f>
        <v>5.5</v>
      </c>
      <c r="H45" s="189">
        <f>IF(ISBLANK(D45)=TRUE,"",IF(ISNUMBER(I42)=TRUE,VLOOKUP(D45,'Pojedinačni plasman'!$A$6:$G$65,7,FALSE),""))</f>
        <v>25</v>
      </c>
      <c r="I45" s="474"/>
      <c r="J45" s="475"/>
      <c r="L45" s="185">
        <f>IF(ISNUMBER(N45)=TRUE,VLOOKUP(L47,'Upis rezultata D sektora'!$D$2:$G$13,4,0),"")</f>
        <v>24</v>
      </c>
      <c r="M45" s="186" t="str">
        <f>IF(ISNUMBER(R42)=TRUE,VLOOKUP(L47,'Upis rezultata D sektora'!$D$2:$E$13,2,FALSE),"")</f>
        <v>Damir Škorić</v>
      </c>
      <c r="N45" s="187">
        <f>IF(ISNUMBER(R42)=TRUE,VLOOKUP(M45,'Upis rezultata D sektora'!$E$2:$I$13,5,FALSE),"")</f>
        <v>5</v>
      </c>
      <c r="O45" s="188">
        <f>IF(ISNUMBER(N45)=TRUE,VLOOKUP(M45,'Upis rezultata D sektora'!$E$2:$G$13,2,FALSE),"")</f>
        <v>3700</v>
      </c>
      <c r="P45" s="189">
        <f>IF(ISNUMBER(R42)=TRUE,VLOOKUP(L47,'Upis rezultata D sektora'!$D$2:$H$13,5,FALSE),"")</f>
        <v>2</v>
      </c>
      <c r="Q45" s="189">
        <f>IF(ISBLANK(M45)=TRUE,"",IF(ISNUMBER(R42)=TRUE,VLOOKUP(M45,'Pojedinačni plasman'!$A$6:$G$65,7,FALSE),""))</f>
        <v>9</v>
      </c>
      <c r="R45" s="474"/>
      <c r="S45" s="475"/>
    </row>
    <row r="46" spans="3:19" s="68" customFormat="1" ht="15.75" customHeight="1">
      <c r="C46" s="185">
        <f>IF(ISNUMBER(E46)=TRUE,VLOOKUP(C47,'Upis rezultata E sektora'!$D$2:$G$13,4,0),"")</f>
        <v>50</v>
      </c>
      <c r="D46" s="186" t="str">
        <f>IF(ISNUMBER(I42)=TRUE,VLOOKUP(C47,'Upis rezultata E sektora'!$D$2:$E$13,2,FALSE),"")</f>
        <v>Zoran Štefanić</v>
      </c>
      <c r="E46" s="187">
        <f>IF(ISNUMBER(I42)=TRUE,VLOOKUP(D46,'Upis rezultata E sektora'!$E$2:$I$13,5,FALSE),"")</f>
        <v>10</v>
      </c>
      <c r="F46" s="188">
        <f>IF(ISNUMBER(E46)=TRUE,VLOOKUP(D46,'Upis rezultata E sektora'!$E$2:$G$13,2,FALSE),"")</f>
        <v>1765</v>
      </c>
      <c r="G46" s="189">
        <f>IF(ISNUMBER(I42)=TRUE,VLOOKUP(C47,'Upis rezultata E sektora'!$D$2:$H$13,5,FALSE),"")</f>
        <v>3.5</v>
      </c>
      <c r="H46" s="189">
        <f>IF(ISBLANK(D46)=TRUE,"",IF(ISNUMBER(I42)=TRUE,VLOOKUP(D46,'Pojedinačni plasman'!$A$6:$G$65,7,FALSE),""))</f>
        <v>15</v>
      </c>
      <c r="I46" s="474"/>
      <c r="J46" s="475"/>
      <c r="L46" s="185">
        <f>IF(ISNUMBER(N46)=TRUE,VLOOKUP(L47,'Upis rezultata E sektora'!$D$2:$G$13,4,0),"")</f>
        <v>25</v>
      </c>
      <c r="M46" s="186" t="str">
        <f>IF(ISNUMBER(R42)=TRUE,VLOOKUP(L47,'Upis rezultata E sektora'!$D$2:$E$13,2,FALSE),"")</f>
        <v>Kristijan Kosmačin</v>
      </c>
      <c r="N46" s="187">
        <f>IF(ISNUMBER(R42)=TRUE,VLOOKUP(M46,'Upis rezultata E sektora'!$E$2:$I$13,5,FALSE),"")</f>
        <v>5</v>
      </c>
      <c r="O46" s="188">
        <f>IF(ISNUMBER(N46)=TRUE,VLOOKUP(M46,'Upis rezultata E sektora'!$E$2:$G$13,2,FALSE),"")</f>
        <v>1325</v>
      </c>
      <c r="P46" s="189">
        <f>IF(ISNUMBER(R42)=TRUE,VLOOKUP(L47,'Upis rezultata E sektora'!$D$2:$H$13,5,FALSE),"")</f>
        <v>8.5</v>
      </c>
      <c r="Q46" s="189">
        <f>IF(ISBLANK(M46)=TRUE,"",IF(ISNUMBER(R42)=TRUE,VLOOKUP(M46,'Pojedinačni plasman'!$A$6:$G$65,7,FALSE),""))</f>
        <v>41</v>
      </c>
      <c r="R46" s="474"/>
      <c r="S46" s="475"/>
    </row>
    <row r="47" spans="3:19" s="83" customFormat="1" ht="21" thickBot="1">
      <c r="C47" s="480" t="str">
        <f>IF(ISNONTEXT('Ekipni plasman'!$B$10)=TRUE,"",'Ekipni plasman'!$B$10)</f>
        <v>TPK Zagreb</v>
      </c>
      <c r="D47" s="481"/>
      <c r="E47" s="482"/>
      <c r="F47" s="190">
        <f>VLOOKUP(C47,'Ekipni plasman'!$B$6:$F$17,3,FALSE)</f>
        <v>8825</v>
      </c>
      <c r="G47" s="351">
        <f>VLOOKUP(C47,'Ekipni plasman'!$B$6:$F$17,2,FALSE)</f>
        <v>30</v>
      </c>
      <c r="H47" s="171"/>
      <c r="I47" s="476"/>
      <c r="J47" s="477"/>
      <c r="L47" s="480" t="str">
        <f>IF(ISNONTEXT('Ekipni plasman'!$B$16)=TRUE,"",'Ekipni plasman'!$B$16)</f>
        <v>Varaždin Varaždin</v>
      </c>
      <c r="M47" s="481"/>
      <c r="N47" s="482"/>
      <c r="O47" s="190">
        <f>VLOOKUP(L47,'Ekipni plasman'!$B$6:$F$17,3,FALSE)</f>
        <v>7434</v>
      </c>
      <c r="P47" s="351">
        <f>VLOOKUP(L47,'Ekipni plasman'!$B$6:$F$17,2,FALSE)</f>
        <v>44.5</v>
      </c>
      <c r="Q47" s="171"/>
      <c r="R47" s="476"/>
      <c r="S47" s="477"/>
    </row>
    <row r="48" ht="15.75" thickBot="1"/>
    <row r="49" spans="3:19" s="68" customFormat="1" ht="15" customHeight="1">
      <c r="C49" s="180">
        <f>IF(ISNUMBER(E49)=TRUE,VLOOKUP(C54,'Upis rezultata A sektora'!$D$2:$I$13,6,0),"")</f>
        <v>6</v>
      </c>
      <c r="D49" s="181" t="str">
        <f>IF(ISNUMBER(I49)=TRUE,VLOOKUP(C54,'Upis rezultata A sektora'!$D$2:$E$13,2,FALSE),"")</f>
        <v>Goran Štargl</v>
      </c>
      <c r="E49" s="182">
        <f>IF(ISNUMBER(I49)=TRUE,VLOOKUP(D49,'Upis rezultata A sektora'!$E$2:$G$13,3,FALSE),"")</f>
        <v>2</v>
      </c>
      <c r="F49" s="183">
        <f>IF(ISNUMBER(E49)=TRUE,VLOOKUP(D49,'Upis rezultata A sektora'!$E$2:$G$13,2,FALSE),"")</f>
        <v>4235</v>
      </c>
      <c r="G49" s="184">
        <f>IF(ISNUMBER(I49)=TRUE,VLOOKUP(C54,'Upis rezultata A sektora'!$D$2:$H$13,5,FALSE),"")</f>
        <v>2</v>
      </c>
      <c r="H49" s="184">
        <f>IF(ISBLANK(D49)=TRUE,"",IF(ISNUMBER(I49)=TRUE,VLOOKUP(D49,'Pojedinačni plasman'!$A$6:$G$65,7,FALSE),""))</f>
        <v>7</v>
      </c>
      <c r="I49" s="472">
        <f>VLOOKUP(C54,'Ekipni plasman'!$B$6:$F$17,5,FALSE)</f>
        <v>6</v>
      </c>
      <c r="J49" s="473"/>
      <c r="L49" s="180">
        <f>IF(ISNUMBER(N49)=TRUE,VLOOKUP(L54,'Upis rezultata A sektora'!$D$2:$I$13,6,0),"")</f>
        <v>16</v>
      </c>
      <c r="M49" s="181" t="str">
        <f>IF(ISNUMBER(R49)=TRUE,VLOOKUP(L54,'Upis rezultata A sektora'!$D$2:$E$13,2,FALSE),"")</f>
        <v>Emil Lukman</v>
      </c>
      <c r="N49" s="182">
        <f>IF(ISNUMBER(R49)=TRUE,VLOOKUP(M49,'Upis rezultata A sektora'!$E$2:$G$13,3,FALSE),"")</f>
        <v>4</v>
      </c>
      <c r="O49" s="183">
        <f>IF(ISNUMBER(N49)=TRUE,VLOOKUP(M49,'Upis rezultata A sektora'!$E$2:$G$13,2,FALSE),"")</f>
        <v>905</v>
      </c>
      <c r="P49" s="184">
        <f>IF(ISNUMBER(R49)=TRUE,VLOOKUP(L54,'Upis rezultata A sektora'!$D$2:$H$13,5,FALSE),"")</f>
        <v>10.5</v>
      </c>
      <c r="Q49" s="184">
        <f>IF(ISBLANK(M49)=TRUE,"",IF(ISNUMBER(R49)=TRUE,VLOOKUP(M49,'Pojedinačni plasman'!$A$6:$G$65,7,FALSE),""))</f>
        <v>52</v>
      </c>
      <c r="R49" s="472">
        <f>VLOOKUP(L54,'Ekipni plasman'!$B$6:$F$17,5,FALSE)</f>
        <v>12</v>
      </c>
      <c r="S49" s="473"/>
    </row>
    <row r="50" spans="3:19" s="68" customFormat="1" ht="15.75" customHeight="1">
      <c r="C50" s="185">
        <f>IF(ISNUMBER(E50)=TRUE,VLOOKUP(C54,'Upis rezultata B sektora'!$D$2:$G$13,4,0),"")</f>
        <v>7</v>
      </c>
      <c r="D50" s="186" t="str">
        <f>IF(ISNUMBER(I49)=TRUE,VLOOKUP(C54,'Upis rezultata B sektora'!$D$2:$E$13,2,FALSE),"")</f>
        <v>Goran Matijašić</v>
      </c>
      <c r="E50" s="187">
        <f>IF(ISNUMBER(I49)=TRUE,VLOOKUP(D50,'Upis rezultata B sektora'!$E$2:$I$13,5,FALSE),"")</f>
        <v>2</v>
      </c>
      <c r="F50" s="188">
        <f>IF(ISNUMBER(E50)=TRUE,VLOOKUP(D50,'Upis rezultata B sektora'!$E$2:$G$13,2,FALSE),"")</f>
        <v>2536</v>
      </c>
      <c r="G50" s="189">
        <f>IF(ISNUMBER(I49)=TRUE,VLOOKUP(C54,'Upis rezultata B sektora'!$D$2:$H$13,5,FALSE),"")</f>
        <v>3</v>
      </c>
      <c r="H50" s="189">
        <f>IF(ISBLANK(D50)=TRUE,"",IF(ISNUMBER(I49)=TRUE,VLOOKUP(D50,'Pojedinačni plasman'!$A$6:$G$65,7,FALSE),""))</f>
        <v>14</v>
      </c>
      <c r="I50" s="474"/>
      <c r="J50" s="475"/>
      <c r="L50" s="185">
        <f>IF(ISNUMBER(N50)=TRUE,VLOOKUP(L54,'Upis rezultata B sektora'!$D$2:$G$13,4,0),"")</f>
        <v>17</v>
      </c>
      <c r="M50" s="186" t="str">
        <f>IF(ISNUMBER(R49)=TRUE,VLOOKUP(L54,'Upis rezultata B sektora'!$D$2:$E$13,2,FALSE),"")</f>
        <v>Vladimir Šuker</v>
      </c>
      <c r="N50" s="187">
        <f>IF(ISNUMBER(R49)=TRUE,VLOOKUP(M50,'Upis rezultata B sektora'!$E$2:$I$13,5,FALSE),"")</f>
        <v>4</v>
      </c>
      <c r="O50" s="188">
        <f>IF(ISNUMBER(N50)=TRUE,VLOOKUP(M50,'Upis rezultata B sektora'!$E$2:$G$13,2,FALSE),"")</f>
        <v>2320</v>
      </c>
      <c r="P50" s="189">
        <f>IF(ISNUMBER(R49)=TRUE,VLOOKUP(L54,'Upis rezultata B sektora'!$D$2:$H$13,5,FALSE),"")</f>
        <v>5</v>
      </c>
      <c r="Q50" s="189">
        <f>IF(ISBLANK(M50)=TRUE,"",IF(ISNUMBER(R49)=TRUE,VLOOKUP(M50,'Pojedinačni plasman'!$A$6:$G$65,7,FALSE),""))</f>
        <v>21</v>
      </c>
      <c r="R50" s="474"/>
      <c r="S50" s="475"/>
    </row>
    <row r="51" spans="3:19" s="68" customFormat="1" ht="15.75" customHeight="1">
      <c r="C51" s="185">
        <f>IF(ISNUMBER(E51)=TRUE,VLOOKUP(C54,'Upis rezultata C sektora'!$D$2:$G$13,4,0),"")</f>
        <v>8</v>
      </c>
      <c r="D51" s="186" t="str">
        <f>IF(ISNUMBER(I49)=TRUE,VLOOKUP(C54,'Upis rezultata C sektora'!$D$2:$E$13,2,FALSE),"")</f>
        <v>Danijel Picer</v>
      </c>
      <c r="E51" s="187">
        <f>IF(ISNUMBER(I49)=TRUE,VLOOKUP(D51,'Upis rezultata C sektora'!$E$2:$I$13,5,FALSE),"")</f>
        <v>2</v>
      </c>
      <c r="F51" s="188">
        <f>IF(ISNUMBER(E51)=TRUE,VLOOKUP(D51,'Upis rezultata C sektora'!$E$2:$G$13,2,FALSE),"")</f>
        <v>1354</v>
      </c>
      <c r="G51" s="189">
        <f>IF(ISNUMBER(I49)=TRUE,VLOOKUP(C54,'Upis rezultata C sektora'!$D$2:$H$13,5,FALSE),"")</f>
        <v>8</v>
      </c>
      <c r="H51" s="189">
        <f>IF(ISBLANK(D51)=TRUE,"",IF(ISNUMBER(I49)=TRUE,VLOOKUP(D51,'Pojedinačni plasman'!$A$6:$G$65,7,FALSE),""))</f>
        <v>37</v>
      </c>
      <c r="I51" s="474"/>
      <c r="J51" s="475"/>
      <c r="L51" s="185">
        <f>IF(ISNUMBER(N51)=TRUE,VLOOKUP(L54,'Upis rezultata C sektora'!$D$2:$G$13,4,0),"")</f>
        <v>18</v>
      </c>
      <c r="M51" s="186" t="str">
        <f>IF(ISNUMBER(R49)=TRUE,VLOOKUP(L54,'Upis rezultata C sektora'!$D$2:$E$13,2,FALSE),"")</f>
        <v>Ivo Begović</v>
      </c>
      <c r="N51" s="187">
        <f>IF(ISNUMBER(R49)=TRUE,VLOOKUP(M51,'Upis rezultata C sektora'!$E$2:$I$13,5,FALSE),"")</f>
        <v>4</v>
      </c>
      <c r="O51" s="188">
        <f>IF(ISNUMBER(N51)=TRUE,VLOOKUP(M51,'Upis rezultata C sektora'!$E$2:$G$13,2,FALSE),"")</f>
        <v>670</v>
      </c>
      <c r="P51" s="189">
        <f>IF(ISNUMBER(R49)=TRUE,VLOOKUP(L54,'Upis rezultata C sektora'!$D$2:$H$13,5,FALSE),"")</f>
        <v>11</v>
      </c>
      <c r="Q51" s="189">
        <f>IF(ISBLANK(M51)=TRUE,"",IF(ISNUMBER(R49)=TRUE,VLOOKUP(M51,'Pojedinačni plasman'!$A$6:$G$65,7,FALSE),""))</f>
        <v>55</v>
      </c>
      <c r="R51" s="474"/>
      <c r="S51" s="475"/>
    </row>
    <row r="52" spans="3:19" s="68" customFormat="1" ht="15.75" customHeight="1">
      <c r="C52" s="185">
        <f>IF(ISNUMBER(E52)=TRUE,VLOOKUP(C54,'Upis rezultata D sektora'!$D$2:$G$13,4,0),"")</f>
        <v>9</v>
      </c>
      <c r="D52" s="186" t="str">
        <f>IF(ISNUMBER(I49)=TRUE,VLOOKUP(C54,'Upis rezultata D sektora'!$D$2:$E$13,2,FALSE),"")</f>
        <v>Hrvoje Horvat</v>
      </c>
      <c r="E52" s="187">
        <f>IF(ISNUMBER(I49)=TRUE,VLOOKUP(D52,'Upis rezultata D sektora'!$E$2:$I$13,5,FALSE),"")</f>
        <v>2</v>
      </c>
      <c r="F52" s="188">
        <f>IF(ISNUMBER(E52)=TRUE,VLOOKUP(D52,'Upis rezultata D sektora'!$E$2:$G$13,2,FALSE),"")</f>
        <v>1098</v>
      </c>
      <c r="G52" s="189">
        <f>IF(ISNUMBER(I49)=TRUE,VLOOKUP(C54,'Upis rezultata D sektora'!$D$2:$H$13,5,FALSE),"")</f>
        <v>11</v>
      </c>
      <c r="H52" s="189">
        <f>IF(ISBLANK(D52)=TRUE,"",IF(ISNUMBER(I49)=TRUE,VLOOKUP(D52,'Pojedinačni plasman'!$A$6:$G$65,7,FALSE),""))</f>
        <v>54</v>
      </c>
      <c r="I52" s="474"/>
      <c r="J52" s="475"/>
      <c r="L52" s="185">
        <f>IF(ISNUMBER(N52)=TRUE,VLOOKUP(L54,'Upis rezultata D sektora'!$D$2:$G$13,4,0),"")</f>
        <v>19</v>
      </c>
      <c r="M52" s="186" t="str">
        <f>IF(ISNUMBER(R49)=TRUE,VLOOKUP(L54,'Upis rezultata D sektora'!$D$2:$E$13,2,FALSE),"")</f>
        <v>Marijan Jurić</v>
      </c>
      <c r="N52" s="187">
        <f>IF(ISNUMBER(R49)=TRUE,VLOOKUP(M52,'Upis rezultata D sektora'!$E$2:$I$13,5,FALSE),"")</f>
        <v>4</v>
      </c>
      <c r="O52" s="188">
        <f>IF(ISNUMBER(N52)=TRUE,VLOOKUP(M52,'Upis rezultata D sektora'!$E$2:$G$13,2,FALSE),"")</f>
        <v>1325</v>
      </c>
      <c r="P52" s="189">
        <f>IF(ISNUMBER(R49)=TRUE,VLOOKUP(L54,'Upis rezultata D sektora'!$D$2:$H$13,5,FALSE),"")</f>
        <v>9</v>
      </c>
      <c r="Q52" s="189">
        <f>IF(ISBLANK(M52)=TRUE,"",IF(ISNUMBER(R49)=TRUE,VLOOKUP(M52,'Pojedinačni plasman'!$A$6:$G$65,7,FALSE),""))</f>
        <v>43</v>
      </c>
      <c r="R52" s="474"/>
      <c r="S52" s="475"/>
    </row>
    <row r="53" spans="3:19" s="68" customFormat="1" ht="15.75" customHeight="1">
      <c r="C53" s="185">
        <f>IF(ISNUMBER(E53)=TRUE,VLOOKUP(C54,'Upis rezultata E sektora'!$D$2:$G$13,4,0),"")</f>
        <v>10</v>
      </c>
      <c r="D53" s="186" t="str">
        <f>IF(ISNUMBER(I49)=TRUE,VLOOKUP(C54,'Upis rezultata E sektora'!$D$2:$E$13,2,FALSE),"")</f>
        <v>Saša Mustač</v>
      </c>
      <c r="E53" s="187">
        <f>IF(ISNUMBER(I49)=TRUE,VLOOKUP(D53,'Upis rezultata E sektora'!$E$2:$I$13,5,FALSE),"")</f>
        <v>2</v>
      </c>
      <c r="F53" s="188">
        <f>IF(ISNUMBER(E53)=TRUE,VLOOKUP(D53,'Upis rezultata E sektora'!$E$2:$G$13,2,FALSE),"")</f>
        <v>1045</v>
      </c>
      <c r="G53" s="189">
        <f>IF(ISNUMBER(I49)=TRUE,VLOOKUP(C54,'Upis rezultata E sektora'!$D$2:$H$13,5,FALSE),"")</f>
        <v>12</v>
      </c>
      <c r="H53" s="189">
        <f>IF(ISBLANK(D53)=TRUE,"",IF(ISNUMBER(I49)=TRUE,VLOOKUP(D53,'Pojedinačni plasman'!$A$6:$G$65,7,FALSE),""))</f>
        <v>56</v>
      </c>
      <c r="I53" s="474"/>
      <c r="J53" s="475"/>
      <c r="L53" s="185">
        <f>IF(ISNUMBER(N53)=TRUE,VLOOKUP(L54,'Upis rezultata E sektora'!$D$2:$G$13,4,0),"")</f>
        <v>20</v>
      </c>
      <c r="M53" s="186" t="str">
        <f>IF(ISNUMBER(R49)=TRUE,VLOOKUP(L54,'Upis rezultata E sektora'!$D$2:$E$13,2,FALSE),"")</f>
        <v>Dražen Štajduhar</v>
      </c>
      <c r="N53" s="187">
        <f>IF(ISNUMBER(R49)=TRUE,VLOOKUP(M53,'Upis rezultata E sektora'!$E$2:$I$13,5,FALSE),"")</f>
        <v>4</v>
      </c>
      <c r="O53" s="188">
        <f>IF(ISNUMBER(N53)=TRUE,VLOOKUP(M53,'Upis rezultata E sektora'!$E$2:$G$13,2,FALSE),"")</f>
        <v>1256</v>
      </c>
      <c r="P53" s="189">
        <f>IF(ISNUMBER(R49)=TRUE,VLOOKUP(L54,'Upis rezultata E sektora'!$D$2:$H$13,5,FALSE),"")</f>
        <v>10.5</v>
      </c>
      <c r="Q53" s="189">
        <f>IF(ISBLANK(M53)=TRUE,"",IF(ISNUMBER(R49)=TRUE,VLOOKUP(M53,'Pojedinačni plasman'!$A$6:$G$65,7,FALSE),""))</f>
        <v>48</v>
      </c>
      <c r="R53" s="474"/>
      <c r="S53" s="475"/>
    </row>
    <row r="54" spans="3:19" s="83" customFormat="1" ht="21" thickBot="1">
      <c r="C54" s="480" t="str">
        <f>IF(ISNONTEXT('Ekipni plasman'!$B$11)=TRUE,"",'Ekipni plasman'!$B$11)</f>
        <v>Štuka Torčec</v>
      </c>
      <c r="D54" s="481"/>
      <c r="E54" s="482"/>
      <c r="F54" s="190">
        <f>VLOOKUP(C54,'Ekipni plasman'!$B$6:$F$17,3,FALSE)</f>
        <v>10268</v>
      </c>
      <c r="G54" s="351">
        <f>VLOOKUP(C54,'Ekipni plasman'!$B$6:$F$17,2,FALSE)</f>
        <v>36</v>
      </c>
      <c r="H54" s="171"/>
      <c r="I54" s="476"/>
      <c r="J54" s="477"/>
      <c r="L54" s="480" t="str">
        <f>IF(ISNONTEXT('Ekipni plasman'!$B$17)=TRUE,"",'Ekipni plasman'!$B$17)</f>
        <v>Bjelovar Bjelovar</v>
      </c>
      <c r="M54" s="481"/>
      <c r="N54" s="482"/>
      <c r="O54" s="190">
        <f>VLOOKUP(L54,'Ekipni plasman'!$B$6:$F$17,3,FALSE)</f>
        <v>6476</v>
      </c>
      <c r="P54" s="351">
        <f>VLOOKUP(L54,'Ekipni plasman'!$B$6:$F$17,2,FALSE)</f>
        <v>46</v>
      </c>
      <c r="Q54" s="171"/>
      <c r="R54" s="476"/>
      <c r="S54" s="477"/>
    </row>
    <row r="57" spans="3:19" s="68" customFormat="1" ht="20.25">
      <c r="C57" s="31"/>
      <c r="D57" s="191" t="s">
        <v>216</v>
      </c>
      <c r="E57" s="31"/>
      <c r="F57" s="120"/>
      <c r="G57" s="126"/>
      <c r="H57" s="191" t="s">
        <v>11</v>
      </c>
      <c r="I57" s="104"/>
      <c r="J57" s="31"/>
      <c r="L57" s="31"/>
      <c r="M57" s="191" t="s">
        <v>146</v>
      </c>
      <c r="N57" s="31"/>
      <c r="O57" s="120"/>
      <c r="P57" s="126"/>
      <c r="Q57" s="191" t="s">
        <v>147</v>
      </c>
      <c r="R57" s="191" t="str">
        <f>IF(ISNUMBER(I14)=TRUE,"1/1","")</f>
        <v>1/1</v>
      </c>
      <c r="S57" s="31"/>
    </row>
    <row r="58" spans="3:19" s="68" customFormat="1" ht="20.25">
      <c r="C58" s="31"/>
      <c r="D58" s="191" t="str">
        <f>IF(ISBLANK('Organizacija natjecanja'!$H$20)=TRUE,"",'Organizacija natjecanja'!$H$20)</f>
        <v>Mladen Čačić</v>
      </c>
      <c r="E58" s="31"/>
      <c r="F58" s="120"/>
      <c r="G58" s="126"/>
      <c r="H58" s="191" t="str">
        <f>IF(ISBLANK('Organizacija natjecanja'!$H$16)=TRUE,"",'Organizacija natjecanja'!$H$16)</f>
        <v>Antun Kedmenec</v>
      </c>
      <c r="I58" s="104"/>
      <c r="J58" s="31"/>
      <c r="L58" s="31"/>
      <c r="M58" s="191" t="str">
        <f>IF(ISBLANK('Organizacija natjecanja'!$H$18)=TRUE,"",'Organizacija natjecanja'!$H$18)</f>
        <v>Pavao Umnik</v>
      </c>
      <c r="N58" s="31"/>
      <c r="O58" s="120"/>
      <c r="P58" s="126"/>
      <c r="Q58" s="31"/>
      <c r="R58" s="104"/>
      <c r="S58" s="31"/>
    </row>
  </sheetData>
  <sheetProtection password="C7E2" sheet="1" objects="1" scenarios="1"/>
  <mergeCells count="26">
    <mergeCell ref="C54:E54"/>
    <mergeCell ref="L54:N54"/>
    <mergeCell ref="I49:J54"/>
    <mergeCell ref="I42:J47"/>
    <mergeCell ref="C33:E33"/>
    <mergeCell ref="L33:N33"/>
    <mergeCell ref="C40:E40"/>
    <mergeCell ref="L40:N40"/>
    <mergeCell ref="I28:J33"/>
    <mergeCell ref="I12:J12"/>
    <mergeCell ref="R12:S12"/>
    <mergeCell ref="I14:J19"/>
    <mergeCell ref="R14:S19"/>
    <mergeCell ref="C47:E47"/>
    <mergeCell ref="L47:N47"/>
    <mergeCell ref="C19:E19"/>
    <mergeCell ref="L19:N19"/>
    <mergeCell ref="C26:E26"/>
    <mergeCell ref="L26:N26"/>
    <mergeCell ref="R42:S47"/>
    <mergeCell ref="R49:S54"/>
    <mergeCell ref="I21:J26"/>
    <mergeCell ref="R21:S26"/>
    <mergeCell ref="R28:S33"/>
    <mergeCell ref="I35:J40"/>
    <mergeCell ref="R35:S40"/>
  </mergeCells>
  <printOptions horizontalCentered="1" verticalCentered="1"/>
  <pageMargins left="0.57" right="0.51" top="0.44" bottom="3.37" header="3.79" footer="0.44"/>
  <pageSetup horizontalDpi="300" verticalDpi="300" orientation="portrait" paperSize="9" scale="56" r:id="rId5"/>
  <headerFooter alignWithMargins="0">
    <oddHeader>&amp;C&amp;G</oddHeader>
    <oddFooter>&amp;C&amp;"Arial,Kurziv"&amp;14&amp;YProgram za izračun rezultata i provođenje natjecanja&amp;R&amp;18&amp;D  &amp;T h</oddFooter>
  </headerFooter>
  <drawing r:id="rId3"/>
  <legacyDrawing r:id="rId2"/>
  <legacyDrawingHF r:id="rId4"/>
</worksheet>
</file>

<file path=xl/worksheets/sheet16.xml><?xml version="1.0" encoding="utf-8"?>
<worksheet xmlns="http://schemas.openxmlformats.org/spreadsheetml/2006/main" xmlns:r="http://schemas.openxmlformats.org/officeDocument/2006/relationships">
  <sheetPr codeName="Sheet20">
    <tabColor indexed="11"/>
  </sheetPr>
  <dimension ref="A1:Q49"/>
  <sheetViews>
    <sheetView showRowColHeaders="0" zoomScale="75" zoomScaleNormal="75" zoomScalePageLayoutView="0" workbookViewId="0" topLeftCell="A1">
      <selection activeCell="F10" sqref="F10"/>
    </sheetView>
  </sheetViews>
  <sheetFormatPr defaultColWidth="9.140625" defaultRowHeight="12.75"/>
  <cols>
    <col min="1" max="1" width="5.140625" style="7" customWidth="1"/>
    <col min="2" max="2" width="25.7109375" style="6" customWidth="1"/>
    <col min="3" max="3" width="8.57421875" style="7" customWidth="1"/>
    <col min="4" max="4" width="11.7109375" style="82" customWidth="1"/>
    <col min="5" max="5" width="9.140625" style="126" customWidth="1"/>
    <col min="6" max="6" width="9.140625" style="7" customWidth="1"/>
    <col min="7" max="7" width="10.140625" style="56" customWidth="1"/>
    <col min="8" max="8" width="10.28125" style="7" customWidth="1"/>
    <col min="9" max="9" width="8.00390625" style="6" customWidth="1"/>
    <col min="10" max="10" width="5.140625" style="7" customWidth="1"/>
    <col min="11" max="11" width="25.7109375" style="6" customWidth="1"/>
    <col min="12" max="12" width="8.57421875" style="7" customWidth="1"/>
    <col min="13" max="13" width="11.7109375" style="82" customWidth="1"/>
    <col min="14" max="14" width="9.140625" style="126" customWidth="1"/>
    <col min="15" max="15" width="9.140625" style="7" customWidth="1"/>
    <col min="16" max="16" width="10.140625" style="56" customWidth="1"/>
    <col min="17" max="17" width="10.00390625" style="7" customWidth="1"/>
    <col min="18" max="16384" width="9.140625" style="6" customWidth="1"/>
  </cols>
  <sheetData>
    <row r="1" spans="1:17" s="107" customFormat="1" ht="31.5">
      <c r="A1" s="106" t="s">
        <v>140</v>
      </c>
      <c r="C1" s="108"/>
      <c r="D1" s="109"/>
      <c r="E1" s="124"/>
      <c r="F1" s="108"/>
      <c r="G1" s="108"/>
      <c r="H1" s="108"/>
      <c r="I1" s="143" t="str">
        <f>IF(ISNONTEXT('Organizacija natjecanja'!H2)=TRUE,"",'Organizacija natjecanja'!H2)</f>
        <v>KUP "BLJESAK"</v>
      </c>
      <c r="J1" s="108"/>
      <c r="L1" s="108"/>
      <c r="M1" s="109"/>
      <c r="N1" s="124"/>
      <c r="O1" s="108"/>
      <c r="P1" s="108"/>
      <c r="Q1" s="108"/>
    </row>
    <row r="2" spans="1:17" s="80" customFormat="1" ht="23.25">
      <c r="A2" s="79" t="s">
        <v>141</v>
      </c>
      <c r="C2" s="108" t="str">
        <f>IF(ISNONTEXT('Organizacija natjecanja'!H4)=TRUE,"",'Organizacija natjecanja'!H4)</f>
        <v>Jezero Raminac</v>
      </c>
      <c r="D2" s="110"/>
      <c r="E2" s="124"/>
      <c r="F2" s="81"/>
      <c r="G2" s="81" t="s">
        <v>142</v>
      </c>
      <c r="H2" s="106" t="str">
        <f>IF(ISNONTEXT('Organizacija natjecanja'!H5)=TRUE,"",'Organizacija natjecanja'!H5)</f>
        <v>Lipik, 28.04.2009.g.</v>
      </c>
      <c r="J2" s="81"/>
      <c r="L2" s="81"/>
      <c r="M2" s="111" t="s">
        <v>143</v>
      </c>
      <c r="N2" s="124"/>
      <c r="O2" s="139" t="str">
        <f>IF(ISBLANK('Organizacija natjecanja'!$H$9)=TRUE,"",'Organizacija natjecanja'!$H$9)</f>
        <v>SENIORI</v>
      </c>
      <c r="P2" s="81"/>
      <c r="Q2" s="81"/>
    </row>
    <row r="4" spans="1:17" s="86" customFormat="1" ht="25.5">
      <c r="A4" s="84" t="s">
        <v>86</v>
      </c>
      <c r="B4" s="84" t="s">
        <v>64</v>
      </c>
      <c r="C4" s="84" t="s">
        <v>23</v>
      </c>
      <c r="D4" s="85" t="s">
        <v>102</v>
      </c>
      <c r="E4" s="85" t="s">
        <v>144</v>
      </c>
      <c r="F4" s="85" t="s">
        <v>215</v>
      </c>
      <c r="G4" s="85" t="s">
        <v>91</v>
      </c>
      <c r="H4" s="85" t="s">
        <v>145</v>
      </c>
      <c r="I4" s="65"/>
      <c r="J4" s="85" t="s">
        <v>86</v>
      </c>
      <c r="K4" s="85" t="s">
        <v>64</v>
      </c>
      <c r="L4" s="85" t="s">
        <v>23</v>
      </c>
      <c r="M4" s="85" t="s">
        <v>102</v>
      </c>
      <c r="N4" s="85" t="s">
        <v>144</v>
      </c>
      <c r="O4" s="85" t="s">
        <v>215</v>
      </c>
      <c r="P4" s="85" t="s">
        <v>91</v>
      </c>
      <c r="Q4" s="84" t="s">
        <v>145</v>
      </c>
    </row>
    <row r="5" spans="1:17" s="68" customFormat="1" ht="15.75">
      <c r="A5" s="31"/>
      <c r="C5" s="31"/>
      <c r="D5" s="120"/>
      <c r="E5" s="126"/>
      <c r="F5" s="31"/>
      <c r="G5" s="104"/>
      <c r="H5" s="31"/>
      <c r="J5" s="31"/>
      <c r="L5" s="31"/>
      <c r="M5" s="120"/>
      <c r="N5" s="126"/>
      <c r="O5" s="31"/>
      <c r="P5" s="104"/>
      <c r="Q5" s="31"/>
    </row>
    <row r="6" spans="1:17" s="68" customFormat="1" ht="15">
      <c r="A6" s="105">
        <f>IF(ISNUMBER(E6)=TRUE,VLOOKUP(A11,'Upis rezultata A sektora'!$D$2:$I$13,6,0),"")</f>
        <v>1</v>
      </c>
      <c r="B6" s="69" t="str">
        <f>IF(ISNUMBER(G6)=TRUE,VLOOKUP(A11,'Upis rezultata A sektora'!$D$2:$E$13,2,FALSE),"")</f>
        <v>Elvis Šinko</v>
      </c>
      <c r="C6" s="105">
        <f>IF(ISNUMBER(G6)=TRUE,VLOOKUP(B6,'Upis rezultata A sektora'!$E$2:$G$13,3,FALSE),"")</f>
        <v>1</v>
      </c>
      <c r="D6" s="88">
        <f>IF(ISNUMBER(C6)=TRUE,VLOOKUP(B6,'Upis rezultata A sektora'!$E$2:$G$13,2,FALSE),"")</f>
        <v>5000</v>
      </c>
      <c r="E6" s="125">
        <f>IF(ISNUMBER(G6)=TRUE,VLOOKUP(A11,'Upis rezultata A sektora'!$D$2:$H$13,5,FALSE),"")</f>
        <v>1</v>
      </c>
      <c r="F6" s="119">
        <f>IF(ISBLANK(B6)=TRUE,"",IF(ISNUMBER(G6)=TRUE,VLOOKUP(B6,'Pojedinačni plasman'!$A$6:$G$65,7,FALSE),""))</f>
        <v>1</v>
      </c>
      <c r="G6" s="489">
        <f>IF(ISNONTEXT('Ekipni plasman'!$B$6)=TRUE,"",'Ekipni plasman'!$F$6)</f>
        <v>1</v>
      </c>
      <c r="H6" s="486">
        <f>IF(ISNUMBER(G6)=TRUE,G6,"")</f>
        <v>1</v>
      </c>
      <c r="J6" s="105">
        <f>IF(ISNUMBER(N6)=TRUE,VLOOKUP(J11,'Upis rezultata A sektora'!$D$2:$I$13,6,0),"")</f>
        <v>26</v>
      </c>
      <c r="K6" s="69" t="str">
        <f>IF(ISNUMBER(P6)=TRUE,VLOOKUP(J11,'Upis rezultata A sektora'!$D$2:$E$13,2,FALSE),"")</f>
        <v>Dražen Bajzek</v>
      </c>
      <c r="L6" s="105">
        <f>IF(ISNUMBER(P6)=TRUE,VLOOKUP(K6,'Upis rezultata A sektora'!$E$2:$G$13,3,FALSE),"")</f>
        <v>6</v>
      </c>
      <c r="M6" s="88">
        <f>IF(ISNUMBER(L6)=TRUE,VLOOKUP(K6,'Upis rezultata A sektora'!$E$2:$G$13,2,FALSE),"")</f>
        <v>2105</v>
      </c>
      <c r="N6" s="125">
        <f>IF(ISNUMBER(P6)=TRUE,VLOOKUP(J11,'Upis rezultata A sektora'!$D$2:$H$13,5,FALSE),"")</f>
        <v>5</v>
      </c>
      <c r="O6" s="119">
        <f>IF(ISBLANK(K6)=TRUE,"",IF(ISNUMBER(P6)=TRUE,VLOOKUP(K6,'Pojedinačni plasman'!$A$6:$G$65,7,FALSE),""))</f>
        <v>22</v>
      </c>
      <c r="P6" s="489">
        <f>IF(ISNONTEXT('Ekipni plasman'!$B$12)=TRUE,"",'Ekipni plasman'!$F$12)</f>
        <v>7</v>
      </c>
      <c r="Q6" s="486">
        <f>IF(ISNUMBER(P6)=TRUE,P6,"")</f>
        <v>7</v>
      </c>
    </row>
    <row r="7" spans="1:17" s="68" customFormat="1" ht="15.75" customHeight="1">
      <c r="A7" s="105">
        <f>IF(ISNUMBER(E7)=TRUE,VLOOKUP(A11,'Upis rezultata B sektora'!$D$2:$G$13,4,0),"")</f>
        <v>2</v>
      </c>
      <c r="B7" s="69" t="str">
        <f>IF(ISNUMBER(G6)=TRUE,VLOOKUP(A11,'Upis rezultata B sektora'!$D$2:$E$13,2,FALSE),"")</f>
        <v>Nenad Viboh</v>
      </c>
      <c r="C7" s="105">
        <f>IF(ISNUMBER(G6)=TRUE,VLOOKUP(B7,'Upis rezultata B sektora'!$E$2:$I$13,5,FALSE),"")</f>
        <v>1</v>
      </c>
      <c r="D7" s="88">
        <f>IF(ISNUMBER(C7)=TRUE,VLOOKUP(B7,'Upis rezultata B sektora'!$E$2:$G$13,2,FALSE),"")</f>
        <v>5000</v>
      </c>
      <c r="E7" s="125">
        <f>IF(ISNUMBER(G6)=TRUE,VLOOKUP(A11,'Upis rezultata B sektora'!$D$2:$H$13,5,FALSE),"")</f>
        <v>1</v>
      </c>
      <c r="F7" s="119">
        <f>IF(ISBLANK(B7)=TRUE,"",IF(ISNUMBER(G6)=TRUE,VLOOKUP(B7,'Pojedinačni plasman'!$A$6:$G$65,7,FALSE),""))</f>
        <v>1</v>
      </c>
      <c r="G7" s="490"/>
      <c r="H7" s="487"/>
      <c r="J7" s="105">
        <f>IF(ISNUMBER(N7)=TRUE,VLOOKUP(J11,'Upis rezultata B sektora'!$D$2:$G$13,4,0),"")</f>
        <v>27</v>
      </c>
      <c r="K7" s="69" t="str">
        <f>IF(ISNUMBER(P6)=TRUE,VLOOKUP(J11,'Upis rezultata B sektora'!$D$2:$E$13,2,FALSE),"")</f>
        <v>Zlatko Kračun</v>
      </c>
      <c r="L7" s="105">
        <f>IF(ISNUMBER(P6)=TRUE,VLOOKUP(K7,'Upis rezultata B sektora'!$E$2:$I$13,5,FALSE),"")</f>
        <v>6</v>
      </c>
      <c r="M7" s="88">
        <f>IF(ISNUMBER(L7)=TRUE,VLOOKUP(K7,'Upis rezultata B sektora'!$E$2:$G$13,2,FALSE),"")</f>
        <v>1119</v>
      </c>
      <c r="N7" s="125">
        <f>IF(ISNUMBER(P6)=TRUE,VLOOKUP(J11,'Upis rezultata B sektora'!$D$2:$H$13,5,FALSE),"")</f>
        <v>10.5</v>
      </c>
      <c r="O7" s="119">
        <f>IF(ISBLANK(K7)=TRUE,"",IF(ISNUMBER(P6)=TRUE,VLOOKUP(K7,'Pojedinačni plasman'!$A$6:$G$65,7,FALSE),""))</f>
        <v>50</v>
      </c>
      <c r="P7" s="490"/>
      <c r="Q7" s="487"/>
    </row>
    <row r="8" spans="1:17" s="68" customFormat="1" ht="15.75" customHeight="1">
      <c r="A8" s="105">
        <f>IF(ISNUMBER(E8)=TRUE,VLOOKUP(A11,'Upis rezultata C sektora'!$D$2:$G$13,4,0),"")</f>
        <v>3</v>
      </c>
      <c r="B8" s="69" t="str">
        <f>IF(ISNUMBER(G6)=TRUE,VLOOKUP(A11,'Upis rezultata C sektora'!$D$2:$E$13,2,FALSE),"")</f>
        <v>Hrvoje Kovač</v>
      </c>
      <c r="C8" s="105">
        <f>IF(ISNUMBER(G6)=TRUE,VLOOKUP(B8,'Upis rezultata C sektora'!$E$2:$I$13,5,FALSE),"")</f>
        <v>1</v>
      </c>
      <c r="D8" s="88">
        <f>IF(ISNUMBER(C8)=TRUE,VLOOKUP(B8,'Upis rezultata C sektora'!$E$2:$G$13,2,FALSE),"")</f>
        <v>5000</v>
      </c>
      <c r="E8" s="125">
        <f>IF(ISNUMBER(G6)=TRUE,VLOOKUP(A11,'Upis rezultata C sektora'!$D$2:$H$13,5,FALSE),"")</f>
        <v>1</v>
      </c>
      <c r="F8" s="119">
        <f>IF(ISBLANK(B8)=TRUE,"",IF(ISNUMBER(G6)=TRUE,VLOOKUP(B8,'Pojedinačni plasman'!$A$6:$G$65,7,FALSE),""))</f>
        <v>1</v>
      </c>
      <c r="G8" s="490"/>
      <c r="H8" s="487"/>
      <c r="J8" s="105">
        <f>IF(ISNUMBER(N8)=TRUE,VLOOKUP(J11,'Upis rezultata C sektora'!$D$2:$G$13,4,0),"")</f>
        <v>28</v>
      </c>
      <c r="K8" s="69" t="str">
        <f>IF(ISNUMBER(P6)=TRUE,VLOOKUP(J11,'Upis rezultata C sektora'!$D$2:$E$13,2,FALSE),"")</f>
        <v>Ljubo Matulin</v>
      </c>
      <c r="L8" s="105">
        <f>IF(ISNUMBER(P6)=TRUE,VLOOKUP(K8,'Upis rezultata C sektora'!$E$2:$I$13,5,FALSE),"")</f>
        <v>6</v>
      </c>
      <c r="M8" s="88">
        <f>IF(ISNUMBER(L8)=TRUE,VLOOKUP(K8,'Upis rezultata C sektora'!$E$2:$G$13,2,FALSE),"")</f>
        <v>2005</v>
      </c>
      <c r="N8" s="125">
        <f>IF(ISNUMBER(P6)=TRUE,VLOOKUP(J11,'Upis rezultata C sektora'!$D$2:$H$13,5,FALSE),"")</f>
        <v>4</v>
      </c>
      <c r="O8" s="119">
        <f>IF(ISBLANK(K8)=TRUE,"",IF(ISNUMBER(P6)=TRUE,VLOOKUP(K8,'Pojedinačni plasman'!$A$6:$G$65,7,FALSE),""))</f>
        <v>19</v>
      </c>
      <c r="P8" s="490"/>
      <c r="Q8" s="487"/>
    </row>
    <row r="9" spans="1:17" s="68" customFormat="1" ht="15.75" customHeight="1">
      <c r="A9" s="105">
        <f>IF(ISNUMBER(E9)=TRUE,VLOOKUP(A11,'Upis rezultata D sektora'!$D$2:$G$13,4,0),"")</f>
        <v>4</v>
      </c>
      <c r="B9" s="69" t="str">
        <f>IF(ISNUMBER(G6)=TRUE,VLOOKUP(A11,'Upis rezultata D sektora'!$D$2:$E$13,2,FALSE),"")</f>
        <v>Damir Jauševac</v>
      </c>
      <c r="C9" s="105">
        <f>IF(ISNUMBER(G6)=TRUE,VLOOKUP(B9,'Upis rezultata D sektora'!$E$2:$I$13,5,FALSE),"")</f>
        <v>1</v>
      </c>
      <c r="D9" s="88">
        <f>IF(ISNUMBER(C9)=TRUE,VLOOKUP(B9,'Upis rezultata D sektora'!$E$2:$G$13,2,FALSE),"")</f>
        <v>5000</v>
      </c>
      <c r="E9" s="125">
        <f>IF(ISNUMBER(G6)=TRUE,VLOOKUP(A11,'Upis rezultata D sektora'!$D$2:$H$13,5,FALSE),"")</f>
        <v>1</v>
      </c>
      <c r="F9" s="119">
        <f>IF(ISBLANK(B9)=TRUE,"",IF(ISNUMBER(G6)=TRUE,VLOOKUP(B9,'Pojedinačni plasman'!$A$6:$G$65,7,FALSE),""))</f>
        <v>1</v>
      </c>
      <c r="G9" s="490"/>
      <c r="H9" s="487"/>
      <c r="J9" s="105">
        <f>IF(ISNUMBER(N9)=TRUE,VLOOKUP(J11,'Upis rezultata D sektora'!$D$2:$G$13,4,0),"")</f>
        <v>29</v>
      </c>
      <c r="K9" s="69" t="str">
        <f>IF(ISNUMBER(P6)=TRUE,VLOOKUP(J11,'Upis rezultata D sektora'!$D$2:$E$13,2,FALSE),"")</f>
        <v>Mensur Rošić</v>
      </c>
      <c r="L9" s="105">
        <f>IF(ISNUMBER(P6)=TRUE,VLOOKUP(K9,'Upis rezultata D sektora'!$E$2:$I$13,5,FALSE),"")</f>
        <v>6</v>
      </c>
      <c r="M9" s="88">
        <f>IF(ISNUMBER(L9)=TRUE,VLOOKUP(K9,'Upis rezultata D sektora'!$E$2:$G$13,2,FALSE),"")</f>
        <v>1354</v>
      </c>
      <c r="N9" s="125">
        <f>IF(ISNUMBER(P6)=TRUE,VLOOKUP(J11,'Upis rezultata D sektora'!$D$2:$H$13,5,FALSE),"")</f>
        <v>8</v>
      </c>
      <c r="O9" s="119">
        <f>IF(ISBLANK(K9)=TRUE,"",IF(ISNUMBER(P6)=TRUE,VLOOKUP(K9,'Pojedinačni plasman'!$A$6:$G$65,7,FALSE),""))</f>
        <v>37</v>
      </c>
      <c r="P9" s="490"/>
      <c r="Q9" s="487"/>
    </row>
    <row r="10" spans="1:17" s="68" customFormat="1" ht="15.75" customHeight="1">
      <c r="A10" s="105">
        <f>IF(ISNUMBER(E10)=TRUE,VLOOKUP(A11,'Upis rezultata E sektora'!$D$2:$G$13,4,0),"")</f>
        <v>5</v>
      </c>
      <c r="B10" s="69" t="str">
        <f>IF(ISNUMBER(G6)=TRUE,VLOOKUP(A11,'Upis rezultata E sektora'!$D$2:$E$13,2,FALSE),"")</f>
        <v>Ivan Kovač</v>
      </c>
      <c r="C10" s="105">
        <f>IF(ISNUMBER(G6)=TRUE,VLOOKUP(B10,'Upis rezultata E sektora'!$E$2:$I$13,5,FALSE),"")</f>
        <v>1</v>
      </c>
      <c r="D10" s="88">
        <f>IF(ISNUMBER(C10)=TRUE,VLOOKUP(B10,'Upis rezultata E sektora'!$E$2:$G$13,2,FALSE),"")</f>
        <v>5000</v>
      </c>
      <c r="E10" s="125">
        <f>IF(ISNUMBER(G6)=TRUE,VLOOKUP(A11,'Upis rezultata E sektora'!$D$2:$H$13,5,FALSE),"")</f>
        <v>1</v>
      </c>
      <c r="F10" s="119">
        <f>IF(ISBLANK(B10)=TRUE,"",IF(ISNUMBER(G6)=TRUE,VLOOKUP(B10,'Pojedinačni plasman'!$A$6:$G$65,7,FALSE),""))</f>
        <v>1</v>
      </c>
      <c r="G10" s="490"/>
      <c r="H10" s="487"/>
      <c r="J10" s="105">
        <f>IF(ISNUMBER(N10)=TRUE,VLOOKUP(J11,'Upis rezultata E sektora'!$D$2:$G$13,4,0),"")</f>
        <v>30</v>
      </c>
      <c r="K10" s="69" t="str">
        <f>IF(ISNUMBER(P6)=TRUE,VLOOKUP(J11,'Upis rezultata E sektora'!$D$2:$E$13,2,FALSE),"")</f>
        <v>Davor Florijanić</v>
      </c>
      <c r="L10" s="105">
        <f>IF(ISNUMBER(P6)=TRUE,VLOOKUP(K10,'Upis rezultata E sektora'!$E$2:$I$13,5,FALSE),"")</f>
        <v>6</v>
      </c>
      <c r="M10" s="88">
        <f>IF(ISNUMBER(L10)=TRUE,VLOOKUP(K10,'Upis rezultata E sektora'!$E$2:$G$13,2,FALSE),"")</f>
        <v>1325</v>
      </c>
      <c r="N10" s="125">
        <f>IF(ISNUMBER(P6)=TRUE,VLOOKUP(J11,'Upis rezultata E sektora'!$D$2:$H$13,5,FALSE),"")</f>
        <v>8.5</v>
      </c>
      <c r="O10" s="119">
        <f>IF(ISBLANK(K10)=TRUE,"",IF(ISNUMBER(P6)=TRUE,VLOOKUP(K10,'Pojedinačni plasman'!$A$6:$G$65,7,FALSE),""))</f>
        <v>41</v>
      </c>
      <c r="P10" s="490"/>
      <c r="Q10" s="487"/>
    </row>
    <row r="11" spans="1:17" s="83" customFormat="1" ht="20.25">
      <c r="A11" s="483" t="str">
        <f>IF(ISNONTEXT('Ekipni plasman'!$B$6)=TRUE,"",'Ekipni plasman'!$B$6)</f>
        <v>Korana Karlovac</v>
      </c>
      <c r="B11" s="484"/>
      <c r="C11" s="485"/>
      <c r="D11" s="118">
        <f>IF(ISNONTEXT('Ekipni plasman'!$B$6)=TRUE,"",'Ekipni plasman'!$D$6)</f>
        <v>25000</v>
      </c>
      <c r="E11" s="132">
        <f>IF(ISNONTEXT('Ekipni plasman'!$B$6)=TRUE,"",'Ekipni plasman'!$C$6)</f>
        <v>5</v>
      </c>
      <c r="F11" s="87"/>
      <c r="G11" s="491"/>
      <c r="H11" s="488"/>
      <c r="J11" s="483" t="str">
        <f>IF(ISNONTEXT('Ekipni plasman'!$B$12)=TRUE,"",'Ekipni plasman'!$B$12)</f>
        <v>Azzuro Varaždin</v>
      </c>
      <c r="K11" s="484"/>
      <c r="L11" s="485"/>
      <c r="M11" s="118">
        <f>IF(ISNONTEXT('Ekipni plasman'!$B$12)=TRUE,"",'Ekipni plasman'!$D$12)</f>
        <v>7908</v>
      </c>
      <c r="N11" s="132">
        <f>IF(ISNONTEXT('Ekipni plasman'!$B$12)=TRUE,"",'Ekipni plasman'!$C$12)</f>
        <v>36</v>
      </c>
      <c r="O11" s="87"/>
      <c r="P11" s="491"/>
      <c r="Q11" s="488"/>
    </row>
    <row r="13" spans="1:17" s="68" customFormat="1" ht="15">
      <c r="A13" s="105">
        <f>IF(ISNUMBER(E13)=TRUE,VLOOKUP(A18,'Upis rezultata A sektora'!$D$2:$I$13,6,0),"")</f>
        <v>56</v>
      </c>
      <c r="B13" s="69" t="str">
        <f>IF(ISNUMBER(G13)=TRUE,VLOOKUP(A18,'Upis rezultata A sektora'!$D$2:$E$13,2,FALSE),"")</f>
        <v>Mladen Meseš</v>
      </c>
      <c r="C13" s="105">
        <f>IF(ISNUMBER(G13)=TRUE,VLOOKUP(B13,'Upis rezultata A sektora'!$E$2:$G$13,3,FALSE),"")</f>
        <v>12</v>
      </c>
      <c r="D13" s="88">
        <f>IF(ISNUMBER(C13)=TRUE,VLOOKUP(B13,'Upis rezultata A sektora'!$E$2:$G$13,2,FALSE),"")</f>
        <v>1680</v>
      </c>
      <c r="E13" s="125">
        <f>IF(ISNUMBER(G13)=TRUE,VLOOKUP(A18,'Upis rezultata A sektora'!$D$2:$H$13,5,FALSE),"")</f>
        <v>7</v>
      </c>
      <c r="F13" s="119">
        <f>IF(ISBLANK(B13)=TRUE,"",IF(ISNUMBER(G13)=TRUE,VLOOKUP(B13,'Pojedinačni plasman'!$A$6:$G$65,7,FALSE),""))</f>
        <v>33</v>
      </c>
      <c r="G13" s="489">
        <f>IF(ISNONTEXT('Ekipni plasman'!$B$7)=TRUE,"",'Ekipni plasman'!$F$7)</f>
        <v>2</v>
      </c>
      <c r="H13" s="486">
        <f>IF(ISNUMBER(G13)=TRUE,G13,"")</f>
        <v>2</v>
      </c>
      <c r="J13" s="105">
        <f>IF(ISNUMBER(N13)=TRUE,VLOOKUP(J18,'Upis rezultata A sektora'!$D$2:$I$13,6,0),"")</f>
        <v>31</v>
      </c>
      <c r="K13" s="69" t="str">
        <f>IF(ISNUMBER(P13)=TRUE,VLOOKUP(J18,'Upis rezultata A sektora'!$D$2:$E$13,2,FALSE),"")</f>
        <v>Zdravko Gotovac</v>
      </c>
      <c r="L13" s="105">
        <f>IF(ISNUMBER(P13)=TRUE,VLOOKUP(K13,'Upis rezultata A sektora'!$E$2:$G$13,3,FALSE),"")</f>
        <v>7</v>
      </c>
      <c r="M13" s="88">
        <f>IF(ISNUMBER(L13)=TRUE,VLOOKUP(K13,'Upis rezultata A sektora'!$E$2:$G$13,2,FALSE),"")</f>
        <v>905</v>
      </c>
      <c r="N13" s="125">
        <f>IF(ISNUMBER(P13)=TRUE,VLOOKUP(J18,'Upis rezultata A sektora'!$D$2:$H$13,5,FALSE),"")</f>
        <v>10.5</v>
      </c>
      <c r="O13" s="119">
        <f>IF(ISBLANK(K13)=TRUE,"",IF(ISNUMBER(P13)=TRUE,VLOOKUP(K13,'Pojedinačni plasman'!$A$6:$G$65,7,FALSE),""))</f>
        <v>52</v>
      </c>
      <c r="P13" s="489">
        <f>IF(ISNONTEXT('Ekipni plasman'!$B$13)=TRUE,"",'Ekipni plasman'!$F$13)</f>
        <v>8</v>
      </c>
      <c r="Q13" s="486">
        <f>IF(ISNUMBER(P13)=TRUE,P13,"")</f>
        <v>8</v>
      </c>
    </row>
    <row r="14" spans="1:17" s="68" customFormat="1" ht="15.75" customHeight="1">
      <c r="A14" s="105">
        <f>IF(ISNUMBER(E14)=TRUE,VLOOKUP(A18,'Upis rezultata B sektora'!$D$2:$G$13,4,0),"")</f>
        <v>57</v>
      </c>
      <c r="B14" s="69" t="str">
        <f>IF(ISNUMBER(G13)=TRUE,VLOOKUP(A18,'Upis rezultata B sektora'!$D$2:$E$13,2,FALSE),"")</f>
        <v>Marijan Kumić</v>
      </c>
      <c r="C14" s="105">
        <f>IF(ISNUMBER(G13)=TRUE,VLOOKUP(B14,'Upis rezultata B sektora'!$E$2:$I$13,5,FALSE),"")</f>
        <v>12</v>
      </c>
      <c r="D14" s="88">
        <f>IF(ISNUMBER(C14)=TRUE,VLOOKUP(B14,'Upis rezultata B sektora'!$E$2:$G$13,2,FALSE),"")</f>
        <v>3700</v>
      </c>
      <c r="E14" s="125">
        <f>IF(ISNUMBER(G13)=TRUE,VLOOKUP(A18,'Upis rezultata B sektora'!$D$2:$H$13,5,FALSE),"")</f>
        <v>2</v>
      </c>
      <c r="F14" s="119">
        <f>IF(ISBLANK(B14)=TRUE,"",IF(ISNUMBER(G13)=TRUE,VLOOKUP(B14,'Pojedinačni plasman'!$A$6:$G$65,7,FALSE),""))</f>
        <v>9</v>
      </c>
      <c r="G14" s="490"/>
      <c r="H14" s="487"/>
      <c r="J14" s="105">
        <f>IF(ISNUMBER(N14)=TRUE,VLOOKUP(J18,'Upis rezultata B sektora'!$D$2:$G$13,4,0),"")</f>
        <v>32</v>
      </c>
      <c r="K14" s="69" t="str">
        <f>IF(ISNUMBER(P13)=TRUE,VLOOKUP(J18,'Upis rezultata B sektora'!$D$2:$E$13,2,FALSE),"")</f>
        <v>Željko Raženj</v>
      </c>
      <c r="L14" s="105">
        <f>IF(ISNUMBER(P13)=TRUE,VLOOKUP(K14,'Upis rezultata B sektora'!$E$2:$I$13,5,FALSE),"")</f>
        <v>7</v>
      </c>
      <c r="M14" s="88">
        <f>IF(ISNUMBER(L14)=TRUE,VLOOKUP(K14,'Upis rezultata B sektora'!$E$2:$G$13,2,FALSE),"")</f>
        <v>1895</v>
      </c>
      <c r="N14" s="125">
        <f>IF(ISNUMBER(P13)=TRUE,VLOOKUP(J18,'Upis rezultata B sektora'!$D$2:$H$13,5,FALSE),"")</f>
        <v>7</v>
      </c>
      <c r="O14" s="119">
        <f>IF(ISBLANK(K14)=TRUE,"",IF(ISNUMBER(P13)=TRUE,VLOOKUP(K14,'Pojedinačni plasman'!$A$6:$G$65,7,FALSE),""))</f>
        <v>32</v>
      </c>
      <c r="P14" s="490"/>
      <c r="Q14" s="487"/>
    </row>
    <row r="15" spans="1:17" s="68" customFormat="1" ht="15.75" customHeight="1">
      <c r="A15" s="105">
        <f>IF(ISNUMBER(E15)=TRUE,VLOOKUP(A18,'Upis rezultata C sektora'!$D$2:$G$13,4,0),"")</f>
        <v>58</v>
      </c>
      <c r="B15" s="69" t="str">
        <f>IF(ISNUMBER(G13)=TRUE,VLOOKUP(A18,'Upis rezultata C sektora'!$D$2:$E$13,2,FALSE),"")</f>
        <v>Siniša Finek</v>
      </c>
      <c r="C15" s="105">
        <f>IF(ISNUMBER(G13)=TRUE,VLOOKUP(B15,'Upis rezultata C sektora'!$E$2:$I$13,5,FALSE),"")</f>
        <v>12</v>
      </c>
      <c r="D15" s="88">
        <f>IF(ISNUMBER(C15)=TRUE,VLOOKUP(B15,'Upis rezultata C sektora'!$E$2:$G$13,2,FALSE),"")</f>
        <v>4500</v>
      </c>
      <c r="E15" s="125">
        <f>IF(ISNUMBER(G13)=TRUE,VLOOKUP(A18,'Upis rezultata C sektora'!$D$2:$H$13,5,FALSE),"")</f>
        <v>3</v>
      </c>
      <c r="F15" s="119">
        <f>IF(ISBLANK(B15)=TRUE,"",IF(ISNUMBER(G13)=TRUE,VLOOKUP(B15,'Pojedinačni plasman'!$A$6:$G$65,7,FALSE),""))</f>
        <v>11</v>
      </c>
      <c r="G15" s="490"/>
      <c r="H15" s="487"/>
      <c r="J15" s="105">
        <f>IF(ISNUMBER(N15)=TRUE,VLOOKUP(J18,'Upis rezultata C sektora'!$D$2:$G$13,4,0),"")</f>
        <v>33</v>
      </c>
      <c r="K15" s="69" t="str">
        <f>IF(ISNUMBER(P13)=TRUE,VLOOKUP(J18,'Upis rezultata C sektora'!$D$2:$E$13,2,FALSE),"")</f>
        <v>Ivan Fehir</v>
      </c>
      <c r="L15" s="105">
        <f>IF(ISNUMBER(P13)=TRUE,VLOOKUP(K15,'Upis rezultata C sektora'!$E$2:$I$13,5,FALSE),"")</f>
        <v>7</v>
      </c>
      <c r="M15" s="88">
        <f>IF(ISNUMBER(L15)=TRUE,VLOOKUP(K15,'Upis rezultata C sektora'!$E$2:$G$13,2,FALSE),"")</f>
        <v>1790</v>
      </c>
      <c r="N15" s="125">
        <f>IF(ISNUMBER(P13)=TRUE,VLOOKUP(J18,'Upis rezultata C sektora'!$D$2:$H$13,5,FALSE),"")</f>
        <v>5</v>
      </c>
      <c r="O15" s="119">
        <f>IF(ISBLANK(K15)=TRUE,"",IF(ISNUMBER(P13)=TRUE,VLOOKUP(K15,'Pojedinačni plasman'!$A$6:$G$65,7,FALSE),""))</f>
        <v>23</v>
      </c>
      <c r="P15" s="490"/>
      <c r="Q15" s="487"/>
    </row>
    <row r="16" spans="1:17" s="68" customFormat="1" ht="15.75" customHeight="1">
      <c r="A16" s="105">
        <f>IF(ISNUMBER(E16)=TRUE,VLOOKUP(A18,'Upis rezultata D sektora'!$D$2:$G$13,4,0),"")</f>
        <v>59</v>
      </c>
      <c r="B16" s="69" t="str">
        <f>IF(ISNUMBER(G13)=TRUE,VLOOKUP(A18,'Upis rezultata D sektora'!$D$2:$E$13,2,FALSE),"")</f>
        <v>Mario Akmačić</v>
      </c>
      <c r="C16" s="105">
        <f>IF(ISNUMBER(G13)=TRUE,VLOOKUP(B16,'Upis rezultata D sektora'!$E$2:$I$13,5,FALSE),"")</f>
        <v>12</v>
      </c>
      <c r="D16" s="88">
        <f>IF(ISNUMBER(C16)=TRUE,VLOOKUP(B16,'Upis rezultata D sektora'!$E$2:$G$13,2,FALSE),"")</f>
        <v>2970</v>
      </c>
      <c r="E16" s="125">
        <f>IF(ISNUMBER(G13)=TRUE,VLOOKUP(A18,'Upis rezultata D sektora'!$D$2:$H$13,5,FALSE),"")</f>
        <v>3</v>
      </c>
      <c r="F16" s="119">
        <f>IF(ISBLANK(B16)=TRUE,"",IF(ISNUMBER(G13)=TRUE,VLOOKUP(B16,'Pojedinačni plasman'!$A$6:$G$65,7,FALSE),""))</f>
        <v>13</v>
      </c>
      <c r="G16" s="490"/>
      <c r="H16" s="487"/>
      <c r="J16" s="105">
        <f>IF(ISNUMBER(N16)=TRUE,VLOOKUP(J18,'Upis rezultata D sektora'!$D$2:$G$13,4,0),"")</f>
        <v>34</v>
      </c>
      <c r="K16" s="69" t="str">
        <f>IF(ISNUMBER(P13)=TRUE,VLOOKUP(J18,'Upis rezultata D sektora'!$D$2:$E$13,2,FALSE),"")</f>
        <v>Tihomir Vukić</v>
      </c>
      <c r="L16" s="105">
        <f>IF(ISNUMBER(P13)=TRUE,VLOOKUP(K16,'Upis rezultata D sektora'!$E$2:$I$13,5,FALSE),"")</f>
        <v>7</v>
      </c>
      <c r="M16" s="88">
        <f>IF(ISNUMBER(L16)=TRUE,VLOOKUP(K16,'Upis rezultata D sektora'!$E$2:$G$13,2,FALSE),"")</f>
        <v>1498</v>
      </c>
      <c r="N16" s="125">
        <f>IF(ISNUMBER(P13)=TRUE,VLOOKUP(J18,'Upis rezultata D sektora'!$D$2:$H$13,5,FALSE),"")</f>
        <v>7</v>
      </c>
      <c r="O16" s="119">
        <f>IF(ISBLANK(K16)=TRUE,"",IF(ISNUMBER(P13)=TRUE,VLOOKUP(K16,'Pojedinačni plasman'!$A$6:$G$65,7,FALSE),""))</f>
        <v>34</v>
      </c>
      <c r="P16" s="490"/>
      <c r="Q16" s="487"/>
    </row>
    <row r="17" spans="1:17" s="68" customFormat="1" ht="15.75" customHeight="1">
      <c r="A17" s="105">
        <f>IF(ISNUMBER(E17)=TRUE,VLOOKUP(A18,'Upis rezultata E sektora'!$D$2:$G$13,4,0),"")</f>
        <v>60</v>
      </c>
      <c r="B17" s="69" t="str">
        <f>IF(ISNUMBER(G13)=TRUE,VLOOKUP(A18,'Upis rezultata E sektora'!$D$2:$E$13,2,FALSE),"")</f>
        <v>Ivan Finek</v>
      </c>
      <c r="C17" s="105">
        <f>IF(ISNUMBER(G13)=TRUE,VLOOKUP(B17,'Upis rezultata E sektora'!$E$2:$I$13,5,FALSE),"")</f>
        <v>12</v>
      </c>
      <c r="D17" s="88">
        <f>IF(ISNUMBER(C17)=TRUE,VLOOKUP(B17,'Upis rezultata E sektora'!$E$2:$G$13,2,FALSE),"")</f>
        <v>3800</v>
      </c>
      <c r="E17" s="125">
        <f>IF(ISNUMBER(G13)=TRUE,VLOOKUP(A18,'Upis rezultata E sektora'!$D$2:$H$13,5,FALSE),"")</f>
        <v>2</v>
      </c>
      <c r="F17" s="119">
        <f>IF(ISBLANK(B17)=TRUE,"",IF(ISNUMBER(G13)=TRUE,VLOOKUP(B17,'Pojedinačni plasman'!$A$6:$G$65,7,FALSE),""))</f>
        <v>8</v>
      </c>
      <c r="G17" s="490"/>
      <c r="H17" s="487"/>
      <c r="J17" s="105">
        <f>IF(ISNUMBER(N17)=TRUE,VLOOKUP(J18,'Upis rezultata E sektora'!$D$2:$G$13,4,0),"")</f>
        <v>35</v>
      </c>
      <c r="K17" s="69" t="str">
        <f>IF(ISNUMBER(P13)=TRUE,VLOOKUP(J18,'Upis rezultata E sektora'!$D$2:$E$13,2,FALSE),"")</f>
        <v>Goran Abramović</v>
      </c>
      <c r="L17" s="105">
        <f>IF(ISNUMBER(P13)=TRUE,VLOOKUP(K17,'Upis rezultata E sektora'!$E$2:$I$13,5,FALSE),"")</f>
        <v>7</v>
      </c>
      <c r="M17" s="88">
        <f>IF(ISNUMBER(L17)=TRUE,VLOOKUP(K17,'Upis rezultata E sektora'!$E$2:$G$13,2,FALSE),"")</f>
        <v>1354</v>
      </c>
      <c r="N17" s="125">
        <f>IF(ISNUMBER(P13)=TRUE,VLOOKUP(J18,'Upis rezultata E sektora'!$D$2:$H$13,5,FALSE),"")</f>
        <v>7</v>
      </c>
      <c r="O17" s="119">
        <f>IF(ISBLANK(K17)=TRUE,"",IF(ISNUMBER(P13)=TRUE,VLOOKUP(K17,'Pojedinačni plasman'!$A$6:$G$65,7,FALSE),""))</f>
        <v>35</v>
      </c>
      <c r="P17" s="490"/>
      <c r="Q17" s="487"/>
    </row>
    <row r="18" spans="1:17" s="83" customFormat="1" ht="20.25">
      <c r="A18" s="483" t="str">
        <f>IF(ISNONTEXT('Ekipni plasman'!$B$7)=TRUE,"",'Ekipni plasman'!$B$7)</f>
        <v>Jez Jasenovac</v>
      </c>
      <c r="B18" s="484"/>
      <c r="C18" s="485"/>
      <c r="D18" s="118">
        <f>IF(ISNONTEXT('Ekipni plasman'!$B$7)=TRUE,"",'Ekipni plasman'!$D$7)</f>
        <v>16650</v>
      </c>
      <c r="E18" s="132">
        <f>IF(ISNONTEXT('Ekipni plasman'!$B$7)=TRUE,"",'Ekipni plasman'!$C$7)</f>
        <v>17</v>
      </c>
      <c r="F18" s="87"/>
      <c r="G18" s="491"/>
      <c r="H18" s="488"/>
      <c r="J18" s="483" t="str">
        <f>IF(ISNONTEXT('Ekipni plasman'!$B$13)=TRUE,"",'Ekipni plasman'!$B$13)</f>
        <v>Trnje-ŠR Zagreb</v>
      </c>
      <c r="K18" s="484"/>
      <c r="L18" s="485"/>
      <c r="M18" s="118">
        <f>IF(ISNONTEXT('Ekipni plasman'!$B$13)=TRUE,"",'Ekipni plasman'!$D$13)</f>
        <v>7442</v>
      </c>
      <c r="N18" s="132">
        <f>IF(ISNONTEXT('Ekipni plasman'!$B$13)=TRUE,"",'Ekipni plasman'!$C$13)</f>
        <v>36.5</v>
      </c>
      <c r="O18" s="87"/>
      <c r="P18" s="491"/>
      <c r="Q18" s="488"/>
    </row>
    <row r="20" spans="1:17" s="68" customFormat="1" ht="15">
      <c r="A20" s="105">
        <f>IF(ISNUMBER(E20)=TRUE,VLOOKUP(A25,'Upis rezultata A sektora'!$D$2:$I$13,6,0),"")</f>
        <v>51</v>
      </c>
      <c r="B20" s="69" t="str">
        <f>IF(ISNUMBER(G20)=TRUE,VLOOKUP(A25,'Upis rezultata A sektora'!$D$2:$E$13,2,FALSE),"")</f>
        <v>Zlatko Šapina</v>
      </c>
      <c r="C20" s="105">
        <f>IF(ISNUMBER(G20)=TRUE,VLOOKUP(B20,'Upis rezultata A sektora'!$E$2:$G$13,3,FALSE),"")</f>
        <v>11</v>
      </c>
      <c r="D20" s="88">
        <f>IF(ISNUMBER(C20)=TRUE,VLOOKUP(B20,'Upis rezultata A sektora'!$E$2:$G$13,2,FALSE),"")</f>
        <v>2800</v>
      </c>
      <c r="E20" s="125">
        <f>IF(ISNUMBER(G20)=TRUE,VLOOKUP(A25,'Upis rezultata A sektora'!$D$2:$H$13,5,FALSE),"")</f>
        <v>4</v>
      </c>
      <c r="F20" s="119">
        <f>IF(ISBLANK(B20)=TRUE,"",IF(ISNUMBER(G20)=TRUE,VLOOKUP(B20,'Pojedinačni plasman'!$A$6:$G$65,7,FALSE),""))</f>
        <v>17</v>
      </c>
      <c r="G20" s="489">
        <f>IF(ISNONTEXT('Ekipni plasman'!$B$8)=TRUE,"",'Ekipni plasman'!$F$8)</f>
        <v>3</v>
      </c>
      <c r="H20" s="486">
        <f>IF(ISNUMBER(G20)=TRUE,G20,"")</f>
        <v>3</v>
      </c>
      <c r="J20" s="105">
        <f>IF(ISNUMBER(N20)=TRUE,VLOOKUP(J25,'Upis rezultata A sektora'!$D$2:$I$13,6,0),"")</f>
        <v>41</v>
      </c>
      <c r="K20" s="69" t="str">
        <f>IF(ISNUMBER(P20)=TRUE,VLOOKUP(J25,'Upis rezultata A sektora'!$D$2:$E$13,2,FALSE),"")</f>
        <v>Domagoj Ceković</v>
      </c>
      <c r="L20" s="105">
        <f>IF(ISNUMBER(P20)=TRUE,VLOOKUP(K20,'Upis rezultata A sektora'!$E$2:$G$13,3,FALSE),"")</f>
        <v>9</v>
      </c>
      <c r="M20" s="88">
        <f>IF(ISNUMBER(L20)=TRUE,VLOOKUP(K20,'Upis rezultata A sektora'!$E$2:$G$13,2,FALSE),"")</f>
        <v>1470</v>
      </c>
      <c r="N20" s="125">
        <f>IF(ISNUMBER(P20)=TRUE,VLOOKUP(J25,'Upis rezultata A sektora'!$D$2:$H$13,5,FALSE),"")</f>
        <v>8</v>
      </c>
      <c r="O20" s="119">
        <f>IF(ISBLANK(K20)=TRUE,"",IF(ISNUMBER(P20)=TRUE,VLOOKUP(K20,'Pojedinačni plasman'!$A$6:$G$65,7,FALSE),""))</f>
        <v>36</v>
      </c>
      <c r="P20" s="489">
        <f>IF(ISNONTEXT('Ekipni plasman'!$B$14)=TRUE,"",'Ekipni plasman'!$F$14)</f>
        <v>9</v>
      </c>
      <c r="Q20" s="486">
        <f>IF(ISNUMBER(P20)=TRUE,P20,"")</f>
        <v>9</v>
      </c>
    </row>
    <row r="21" spans="1:17" s="68" customFormat="1" ht="15.75" customHeight="1">
      <c r="A21" s="105">
        <f>IF(ISNUMBER(E21)=TRUE,VLOOKUP(A25,'Upis rezultata B sektora'!$D$2:$G$13,4,0),"")</f>
        <v>52</v>
      </c>
      <c r="B21" s="69" t="str">
        <f>IF(ISNUMBER(G20)=TRUE,VLOOKUP(A25,'Upis rezultata B sektora'!$D$2:$E$13,2,FALSE),"")</f>
        <v>Tomislav Duković</v>
      </c>
      <c r="C21" s="105">
        <f>IF(ISNUMBER(G20)=TRUE,VLOOKUP(B21,'Upis rezultata B sektora'!$E$2:$I$13,5,FALSE),"")</f>
        <v>11</v>
      </c>
      <c r="D21" s="88">
        <f>IF(ISNUMBER(C21)=TRUE,VLOOKUP(B21,'Upis rezultata B sektora'!$E$2:$G$13,2,FALSE),"")</f>
        <v>1765</v>
      </c>
      <c r="E21" s="125">
        <f>IF(ISNUMBER(G20)=TRUE,VLOOKUP(A25,'Upis rezultata B sektora'!$D$2:$H$13,5,FALSE),"")</f>
        <v>8.5</v>
      </c>
      <c r="F21" s="119">
        <f>IF(ISBLANK(B21)=TRUE,"",IF(ISNUMBER(G20)=TRUE,VLOOKUP(B21,'Pojedinačni plasman'!$A$6:$G$65,7,FALSE),""))</f>
        <v>39</v>
      </c>
      <c r="G21" s="490"/>
      <c r="H21" s="487"/>
      <c r="J21" s="105">
        <f>IF(ISNUMBER(N21)=TRUE,VLOOKUP(J25,'Upis rezultata B sektora'!$D$2:$G$13,4,0),"")</f>
        <v>42</v>
      </c>
      <c r="K21" s="69" t="str">
        <f>IF(ISNUMBER(P20)=TRUE,VLOOKUP(J25,'Upis rezultata B sektora'!$D$2:$E$13,2,FALSE),"")</f>
        <v>Smail Habibović</v>
      </c>
      <c r="L21" s="105">
        <f>IF(ISNUMBER(P20)=TRUE,VLOOKUP(K21,'Upis rezultata B sektora'!$E$2:$I$13,5,FALSE),"")</f>
        <v>9</v>
      </c>
      <c r="M21" s="88">
        <f>IF(ISNUMBER(L21)=TRUE,VLOOKUP(K21,'Upis rezultata B sektora'!$E$2:$G$13,2,FALSE),"")</f>
        <v>1119</v>
      </c>
      <c r="N21" s="125">
        <f>IF(ISNUMBER(P20)=TRUE,VLOOKUP(J25,'Upis rezultata B sektora'!$D$2:$H$13,5,FALSE),"")</f>
        <v>10.5</v>
      </c>
      <c r="O21" s="119">
        <f>IF(ISBLANK(K21)=TRUE,"",IF(ISNUMBER(P20)=TRUE,VLOOKUP(K21,'Pojedinačni plasman'!$A$6:$G$65,7,FALSE),""))</f>
        <v>50</v>
      </c>
      <c r="P21" s="490"/>
      <c r="Q21" s="487"/>
    </row>
    <row r="22" spans="1:17" s="68" customFormat="1" ht="15.75" customHeight="1">
      <c r="A22" s="105">
        <f>IF(ISNUMBER(E22)=TRUE,VLOOKUP(A25,'Upis rezultata C sektora'!$D$2:$G$13,4,0),"")</f>
        <v>53</v>
      </c>
      <c r="B22" s="69" t="str">
        <f>IF(ISNUMBER(G20)=TRUE,VLOOKUP(A25,'Upis rezultata C sektora'!$D$2:$E$13,2,FALSE),"")</f>
        <v>Dražen Červeni</v>
      </c>
      <c r="C22" s="105">
        <f>IF(ISNUMBER(G20)=TRUE,VLOOKUP(B22,'Upis rezultata C sektora'!$E$2:$I$13,5,FALSE),"")</f>
        <v>11</v>
      </c>
      <c r="D22" s="88">
        <f>IF(ISNUMBER(C22)=TRUE,VLOOKUP(B22,'Upis rezultata C sektora'!$E$2:$G$13,2,FALSE),"")</f>
        <v>1765</v>
      </c>
      <c r="E22" s="125">
        <f>IF(ISNUMBER(G20)=TRUE,VLOOKUP(A25,'Upis rezultata C sektora'!$D$2:$H$13,5,FALSE),"")</f>
        <v>6.5</v>
      </c>
      <c r="F22" s="119">
        <f>IF(ISBLANK(B22)=TRUE,"",IF(ISNUMBER(G20)=TRUE,VLOOKUP(B22,'Pojedinačni plasman'!$A$6:$G$65,7,FALSE),""))</f>
        <v>30</v>
      </c>
      <c r="G22" s="490"/>
      <c r="H22" s="487"/>
      <c r="J22" s="105">
        <f>IF(ISNUMBER(N22)=TRUE,VLOOKUP(J25,'Upis rezultata C sektora'!$D$2:$G$13,4,0),"")</f>
        <v>43</v>
      </c>
      <c r="K22" s="69" t="str">
        <f>IF(ISNUMBER(P20)=TRUE,VLOOKUP(J25,'Upis rezultata C sektora'!$D$2:$E$13,2,FALSE),"")</f>
        <v>Dejan Vondrak</v>
      </c>
      <c r="L22" s="105">
        <f>IF(ISNUMBER(P20)=TRUE,VLOOKUP(K22,'Upis rezultata C sektora'!$E$2:$I$13,5,FALSE),"")</f>
        <v>9</v>
      </c>
      <c r="M22" s="88">
        <f>IF(ISNUMBER(L22)=TRUE,VLOOKUP(K22,'Upis rezultata C sektora'!$E$2:$G$13,2,FALSE),"")</f>
        <v>608</v>
      </c>
      <c r="N22" s="125">
        <f>IF(ISNUMBER(P20)=TRUE,VLOOKUP(J25,'Upis rezultata C sektora'!$D$2:$H$13,5,FALSE),"")</f>
        <v>12</v>
      </c>
      <c r="O22" s="119">
        <f>IF(ISBLANK(K22)=TRUE,"",IF(ISNUMBER(P20)=TRUE,VLOOKUP(K22,'Pojedinačni plasman'!$A$6:$G$65,7,FALSE),""))</f>
        <v>58</v>
      </c>
      <c r="P22" s="490"/>
      <c r="Q22" s="487"/>
    </row>
    <row r="23" spans="1:17" s="68" customFormat="1" ht="15.75" customHeight="1">
      <c r="A23" s="105">
        <f>IF(ISNUMBER(E23)=TRUE,VLOOKUP(A25,'Upis rezultata D sektora'!$D$2:$G$13,4,0),"")</f>
        <v>54</v>
      </c>
      <c r="B23" s="69" t="str">
        <f>IF(ISNUMBER(G20)=TRUE,VLOOKUP(A25,'Upis rezultata D sektora'!$D$2:$E$13,2,FALSE),"")</f>
        <v>Bengez Dražen</v>
      </c>
      <c r="C23" s="105">
        <f>IF(ISNUMBER(G20)=TRUE,VLOOKUP(B23,'Upis rezultata D sektora'!$E$2:$I$13,5,FALSE),"")</f>
        <v>11</v>
      </c>
      <c r="D23" s="88">
        <f>IF(ISNUMBER(C23)=TRUE,VLOOKUP(B23,'Upis rezultata D sektora'!$E$2:$G$13,2,FALSE),"")</f>
        <v>1765</v>
      </c>
      <c r="E23" s="125">
        <f>IF(ISNUMBER(G20)=TRUE,VLOOKUP(A25,'Upis rezultata D sektora'!$D$2:$H$13,5,FALSE),"")</f>
        <v>5.5</v>
      </c>
      <c r="F23" s="119">
        <f>IF(ISBLANK(B23)=TRUE,"",IF(ISNUMBER(G20)=TRUE,VLOOKUP(B23,'Pojedinačni plasman'!$A$6:$G$65,7,FALSE),""))</f>
        <v>25</v>
      </c>
      <c r="G23" s="490"/>
      <c r="H23" s="487"/>
      <c r="J23" s="105">
        <f>IF(ISNUMBER(N23)=TRUE,VLOOKUP(J25,'Upis rezultata D sektora'!$D$2:$G$13,4,0),"")</f>
        <v>44</v>
      </c>
      <c r="K23" s="69" t="str">
        <f>IF(ISNUMBER(P20)=TRUE,VLOOKUP(J25,'Upis rezultata D sektora'!$D$2:$E$13,2,FALSE),"")</f>
        <v>Zdravko Vrbanek</v>
      </c>
      <c r="L23" s="105">
        <f>IF(ISNUMBER(P20)=TRUE,VLOOKUP(K23,'Upis rezultata D sektora'!$E$2:$I$13,5,FALSE),"")</f>
        <v>9</v>
      </c>
      <c r="M23" s="88">
        <f>IF(ISNUMBER(L23)=TRUE,VLOOKUP(K23,'Upis rezultata D sektora'!$E$2:$G$13,2,FALSE),"")</f>
        <v>1790</v>
      </c>
      <c r="N23" s="125">
        <f>IF(ISNUMBER(P20)=TRUE,VLOOKUP(J25,'Upis rezultata D sektora'!$D$2:$H$13,5,FALSE),"")</f>
        <v>4</v>
      </c>
      <c r="O23" s="119">
        <f>IF(ISBLANK(K23)=TRUE,"",IF(ISNUMBER(P20)=TRUE,VLOOKUP(K23,'Pojedinačni plasman'!$A$6:$G$65,7,FALSE),""))</f>
        <v>20</v>
      </c>
      <c r="P23" s="490"/>
      <c r="Q23" s="487"/>
    </row>
    <row r="24" spans="1:17" s="68" customFormat="1" ht="15.75" customHeight="1">
      <c r="A24" s="105">
        <f>IF(ISNUMBER(E24)=TRUE,VLOOKUP(A25,'Upis rezultata E sektora'!$D$2:$G$13,4,0),"")</f>
        <v>55</v>
      </c>
      <c r="B24" s="69" t="str">
        <f>IF(ISNUMBER(G20)=TRUE,VLOOKUP(A25,'Upis rezultata E sektora'!$D$2:$E$13,2,FALSE),"")</f>
        <v>Josip Kutlić</v>
      </c>
      <c r="C24" s="105">
        <f>IF(ISNUMBER(G20)=TRUE,VLOOKUP(B24,'Upis rezultata E sektora'!$E$2:$I$13,5,FALSE),"")</f>
        <v>11</v>
      </c>
      <c r="D24" s="88">
        <f>IF(ISNUMBER(C24)=TRUE,VLOOKUP(B24,'Upis rezultata E sektora'!$E$2:$G$13,2,FALSE),"")</f>
        <v>1765</v>
      </c>
      <c r="E24" s="125">
        <f>IF(ISNUMBER(G20)=TRUE,VLOOKUP(A25,'Upis rezultata E sektora'!$D$2:$H$13,5,FALSE),"")</f>
        <v>3.5</v>
      </c>
      <c r="F24" s="119">
        <f>IF(ISBLANK(B24)=TRUE,"",IF(ISNUMBER(G20)=TRUE,VLOOKUP(B24,'Pojedinačni plasman'!$A$6:$G$65,7,FALSE),""))</f>
        <v>15</v>
      </c>
      <c r="G24" s="490"/>
      <c r="H24" s="487"/>
      <c r="J24" s="105">
        <f>IF(ISNUMBER(N24)=TRUE,VLOOKUP(J25,'Upis rezultata E sektora'!$D$2:$G$13,4,0),"")</f>
        <v>45</v>
      </c>
      <c r="K24" s="69" t="str">
        <f>IF(ISNUMBER(P20)=TRUE,VLOOKUP(J25,'Upis rezultata E sektora'!$D$2:$E$13,2,FALSE),"")</f>
        <v>Damir Jauševac</v>
      </c>
      <c r="L24" s="105">
        <f>IF(ISNUMBER(P20)=TRUE,VLOOKUP(K24,'Upis rezultata E sektora'!$E$2:$I$13,5,FALSE),"")</f>
        <v>9</v>
      </c>
      <c r="M24" s="88">
        <f>IF(ISNUMBER(L24)=TRUE,VLOOKUP(K24,'Upis rezultata E sektora'!$E$2:$G$13,2,FALSE),"")</f>
        <v>1498</v>
      </c>
      <c r="N24" s="125">
        <f>IF(ISNUMBER(P20)=TRUE,VLOOKUP(J25,'Upis rezultata E sektora'!$D$2:$H$13,5,FALSE),"")</f>
        <v>5</v>
      </c>
      <c r="O24" s="119">
        <f>IF(ISBLANK(K24)=TRUE,"",IF(ISNUMBER(P20)=TRUE,VLOOKUP(K24,'Pojedinačni plasman'!$A$6:$G$65,7,FALSE),""))</f>
        <v>1</v>
      </c>
      <c r="P24" s="490"/>
      <c r="Q24" s="487"/>
    </row>
    <row r="25" spans="1:17" s="83" customFormat="1" ht="20.25">
      <c r="A25" s="483" t="str">
        <f>IF(ISNONTEXT('Ekipni plasman'!$B$8)=TRUE,"",'Ekipni plasman'!$B$8)</f>
        <v>Ilova Garešnica</v>
      </c>
      <c r="B25" s="484"/>
      <c r="C25" s="485"/>
      <c r="D25" s="118">
        <f>IF(ISNONTEXT('Ekipni plasman'!$B$8)=TRUE,"",'Ekipni plasman'!$D$8)</f>
        <v>9860</v>
      </c>
      <c r="E25" s="132">
        <f>IF(ISNONTEXT('Ekipni plasman'!$B$8)=TRUE,"",'Ekipni plasman'!$C$8)</f>
        <v>28</v>
      </c>
      <c r="F25" s="87"/>
      <c r="G25" s="491"/>
      <c r="H25" s="488"/>
      <c r="J25" s="483" t="str">
        <f>IF(ISNONTEXT('Ekipni plasman'!$B$14)=TRUE,"",'Ekipni plasman'!$B$14)</f>
        <v>Bjelka GME Sunja</v>
      </c>
      <c r="K25" s="484"/>
      <c r="L25" s="485"/>
      <c r="M25" s="118">
        <f>IF(ISNONTEXT('Ekipni plasman'!$B$14)=TRUE,"",'Ekipni plasman'!$D$14)</f>
        <v>6485</v>
      </c>
      <c r="N25" s="132">
        <f>IF(ISNONTEXT('Ekipni plasman'!$B$14)=TRUE,"",'Ekipni plasman'!$C$14)</f>
        <v>39.5</v>
      </c>
      <c r="O25" s="87"/>
      <c r="P25" s="491"/>
      <c r="Q25" s="488"/>
    </row>
    <row r="27" spans="1:17" s="68" customFormat="1" ht="15">
      <c r="A27" s="105">
        <f>IF(ISNUMBER(E27)=TRUE,VLOOKUP(A32,'Upis rezultata A sektora'!$D$2:$I$13,6,0),"")</f>
        <v>11</v>
      </c>
      <c r="B27" s="69" t="str">
        <f>IF(ISNUMBER(G27)=TRUE,VLOOKUP(A32,'Upis rezultata A sektora'!$D$2:$E$13,2,FALSE),"")</f>
        <v>Mladen Kečkeš</v>
      </c>
      <c r="C27" s="105">
        <f>IF(ISNUMBER(G27)=TRUE,VLOOKUP(B27,'Upis rezultata A sektora'!$E$2:$G$13,3,FALSE),"")</f>
        <v>3</v>
      </c>
      <c r="D27" s="88">
        <f>IF(ISNUMBER(C27)=TRUE,VLOOKUP(B27,'Upis rezultata A sektora'!$E$2:$G$13,2,FALSE),"")</f>
        <v>2978</v>
      </c>
      <c r="E27" s="125">
        <f>IF(ISNUMBER(G27)=TRUE,VLOOKUP(A32,'Upis rezultata A sektora'!$D$2:$H$13,5,FALSE),"")</f>
        <v>3</v>
      </c>
      <c r="F27" s="119">
        <f>IF(ISBLANK(B27)=TRUE,"",IF(ISNUMBER(G27)=TRUE,VLOOKUP(B27,'Pojedinačni plasman'!$A$6:$G$65,7,FALSE),""))</f>
        <v>12</v>
      </c>
      <c r="G27" s="489">
        <f>IF(ISNONTEXT('Ekipni plasman'!$B$9)=TRUE,"",'Ekipni plasman'!$F$9)</f>
        <v>4</v>
      </c>
      <c r="H27" s="486">
        <f>IF(ISNUMBER(G27)=TRUE,G27,"")</f>
        <v>4</v>
      </c>
      <c r="J27" s="105">
        <f>IF(ISNUMBER(N27)=TRUE,VLOOKUP(J32,'Upis rezultata A sektora'!$D$2:$I$13,6,0),"")</f>
        <v>36</v>
      </c>
      <c r="K27" s="69" t="str">
        <f>IF(ISNUMBER(P27)=TRUE,VLOOKUP(J32,'Upis rezultata A sektora'!$D$2:$E$13,2,FALSE),"")</f>
        <v>Damir Dević</v>
      </c>
      <c r="L27" s="105">
        <f>IF(ISNUMBER(P27)=TRUE,VLOOKUP(K27,'Upis rezultata A sektora'!$E$2:$G$13,3,FALSE),"")</f>
        <v>8</v>
      </c>
      <c r="M27" s="88">
        <f>IF(ISNUMBER(L27)=TRUE,VLOOKUP(K27,'Upis rezultata A sektora'!$E$2:$G$13,2,FALSE),"")</f>
        <v>1125</v>
      </c>
      <c r="N27" s="125">
        <f>IF(ISNUMBER(P27)=TRUE,VLOOKUP(J32,'Upis rezultata A sektora'!$D$2:$H$13,5,FALSE),"")</f>
        <v>9</v>
      </c>
      <c r="O27" s="119">
        <f>IF(ISBLANK(K27)=TRUE,"",IF(ISNUMBER(P27)=TRUE,VLOOKUP(K27,'Pojedinačni plasman'!$A$6:$G$65,7,FALSE),""))</f>
        <v>45</v>
      </c>
      <c r="P27" s="489">
        <f>IF(ISNONTEXT('Ekipni plasman'!$B$15)=TRUE,"",'Ekipni plasman'!$F$15)</f>
        <v>10</v>
      </c>
      <c r="Q27" s="486">
        <f>IF(ISNUMBER(P27)=TRUE,P27,"")</f>
        <v>10</v>
      </c>
    </row>
    <row r="28" spans="1:17" s="68" customFormat="1" ht="15.75" customHeight="1">
      <c r="A28" s="105">
        <f>IF(ISNUMBER(E28)=TRUE,VLOOKUP(A32,'Upis rezultata B sektora'!$D$2:$G$13,4,0),"")</f>
        <v>12</v>
      </c>
      <c r="B28" s="69" t="str">
        <f>IF(ISNUMBER(G27)=TRUE,VLOOKUP(A32,'Upis rezultata B sektora'!$D$2:$E$13,2,FALSE),"")</f>
        <v>Martin Vrčković</v>
      </c>
      <c r="C28" s="105">
        <f>IF(ISNUMBER(G27)=TRUE,VLOOKUP(B28,'Upis rezultata B sektora'!$E$2:$I$13,5,FALSE),"")</f>
        <v>3</v>
      </c>
      <c r="D28" s="88">
        <f>IF(ISNUMBER(C28)=TRUE,VLOOKUP(B28,'Upis rezultata B sektora'!$E$2:$G$13,2,FALSE),"")</f>
        <v>2452</v>
      </c>
      <c r="E28" s="125">
        <f>IF(ISNUMBER(G27)=TRUE,VLOOKUP(A32,'Upis rezultata B sektora'!$D$2:$H$13,5,FALSE),"")</f>
        <v>4</v>
      </c>
      <c r="F28" s="119">
        <f>IF(ISBLANK(B28)=TRUE,"",IF(ISNUMBER(G27)=TRUE,VLOOKUP(B28,'Pojedinačni plasman'!$A$6:$G$65,7,FALSE),""))</f>
        <v>18</v>
      </c>
      <c r="G28" s="490"/>
      <c r="H28" s="487"/>
      <c r="J28" s="105">
        <f>IF(ISNUMBER(N28)=TRUE,VLOOKUP(J32,'Upis rezultata B sektora'!$D$2:$G$13,4,0),"")</f>
        <v>37</v>
      </c>
      <c r="K28" s="69" t="str">
        <f>IF(ISNUMBER(P27)=TRUE,VLOOKUP(J32,'Upis rezultata B sektora'!$D$2:$E$13,2,FALSE),"")</f>
        <v>Mario Akmačić</v>
      </c>
      <c r="L28" s="105">
        <f>IF(ISNUMBER(P27)=TRUE,VLOOKUP(K28,'Upis rezultata B sektora'!$E$2:$I$13,5,FALSE),"")</f>
        <v>8</v>
      </c>
      <c r="M28" s="88">
        <f>IF(ISNUMBER(L28)=TRUE,VLOOKUP(K28,'Upis rezultata B sektora'!$E$2:$G$13,2,FALSE),"")</f>
        <v>1953</v>
      </c>
      <c r="N28" s="125">
        <f>IF(ISNUMBER(P27)=TRUE,VLOOKUP(J32,'Upis rezultata B sektora'!$D$2:$H$13,5,FALSE),"")</f>
        <v>6</v>
      </c>
      <c r="O28" s="119">
        <f>IF(ISBLANK(K28)=TRUE,"",IF(ISNUMBER(P27)=TRUE,VLOOKUP(K28,'Pojedinačni plasman'!$A$6:$G$65,7,FALSE),""))</f>
        <v>13</v>
      </c>
      <c r="P28" s="490"/>
      <c r="Q28" s="487"/>
    </row>
    <row r="29" spans="1:17" s="68" customFormat="1" ht="15.75" customHeight="1">
      <c r="A29" s="105">
        <f>IF(ISNUMBER(E29)=TRUE,VLOOKUP(A32,'Upis rezultata C sektora'!$D$2:$G$13,4,0),"")</f>
        <v>13</v>
      </c>
      <c r="B29" s="69" t="str">
        <f>IF(ISNUMBER(G27)=TRUE,VLOOKUP(A32,'Upis rezultata C sektora'!$D$2:$E$13,2,FALSE),"")</f>
        <v>Stjepan Gorički</v>
      </c>
      <c r="C29" s="105">
        <f>IF(ISNUMBER(G27)=TRUE,VLOOKUP(B29,'Upis rezultata C sektora'!$E$2:$I$13,5,FALSE),"")</f>
        <v>3</v>
      </c>
      <c r="D29" s="88">
        <f>IF(ISNUMBER(C29)=TRUE,VLOOKUP(B29,'Upis rezultata C sektora'!$E$2:$G$13,2,FALSE),"")</f>
        <v>4740</v>
      </c>
      <c r="E29" s="125">
        <f>IF(ISNUMBER(G27)=TRUE,VLOOKUP(A32,'Upis rezultata C sektora'!$D$2:$H$13,5,FALSE),"")</f>
        <v>2</v>
      </c>
      <c r="F29" s="119">
        <f>IF(ISBLANK(B29)=TRUE,"",IF(ISNUMBER(G27)=TRUE,VLOOKUP(B29,'Pojedinačni plasman'!$A$6:$G$65,7,FALSE),""))</f>
        <v>6</v>
      </c>
      <c r="G29" s="490"/>
      <c r="H29" s="487"/>
      <c r="J29" s="105">
        <f>IF(ISNUMBER(N29)=TRUE,VLOOKUP(J32,'Upis rezultata C sektora'!$D$2:$G$13,4,0),"")</f>
        <v>38</v>
      </c>
      <c r="K29" s="69" t="str">
        <f>IF(ISNUMBER(P27)=TRUE,VLOOKUP(J32,'Upis rezultata C sektora'!$D$2:$E$13,2,FALSE),"")</f>
        <v>Petar Petrović</v>
      </c>
      <c r="L29" s="105">
        <f>IF(ISNUMBER(P27)=TRUE,VLOOKUP(K29,'Upis rezultata C sektora'!$E$2:$I$13,5,FALSE),"")</f>
        <v>8</v>
      </c>
      <c r="M29" s="88">
        <f>IF(ISNUMBER(L29)=TRUE,VLOOKUP(K29,'Upis rezultata C sektora'!$E$2:$G$13,2,FALSE),"")</f>
        <v>1325</v>
      </c>
      <c r="N29" s="125">
        <f>IF(ISNUMBER(P27)=TRUE,VLOOKUP(J32,'Upis rezultata C sektora'!$D$2:$H$13,5,FALSE),"")</f>
        <v>9</v>
      </c>
      <c r="O29" s="119">
        <f>IF(ISBLANK(K29)=TRUE,"",IF(ISNUMBER(P27)=TRUE,VLOOKUP(K29,'Pojedinačni plasman'!$A$6:$G$65,7,FALSE),""))</f>
        <v>43</v>
      </c>
      <c r="P29" s="490"/>
      <c r="Q29" s="487"/>
    </row>
    <row r="30" spans="1:17" s="68" customFormat="1" ht="15.75" customHeight="1">
      <c r="A30" s="105">
        <f>IF(ISNUMBER(E30)=TRUE,VLOOKUP(A32,'Upis rezultata D sektora'!$D$2:$G$13,4,0),"")</f>
        <v>14</v>
      </c>
      <c r="B30" s="69" t="str">
        <f>IF(ISNUMBER(G27)=TRUE,VLOOKUP(A32,'Upis rezultata D sektora'!$D$2:$E$13,2,FALSE),"")</f>
        <v>Zlatko Novačić</v>
      </c>
      <c r="C30" s="105">
        <f>IF(ISNUMBER(G27)=TRUE,VLOOKUP(B30,'Upis rezultata D sektora'!$E$2:$I$13,5,FALSE),"")</f>
        <v>3</v>
      </c>
      <c r="D30" s="88">
        <f>IF(ISNUMBER(C30)=TRUE,VLOOKUP(B30,'Upis rezultata D sektora'!$E$2:$G$13,2,FALSE),"")</f>
        <v>1256</v>
      </c>
      <c r="E30" s="125">
        <f>IF(ISNUMBER(G27)=TRUE,VLOOKUP(A32,'Upis rezultata D sektora'!$D$2:$H$13,5,FALSE),"")</f>
        <v>10</v>
      </c>
      <c r="F30" s="119">
        <f>IF(ISBLANK(B30)=TRUE,"",IF(ISNUMBER(G27)=TRUE,VLOOKUP(B30,'Pojedinačni plasman'!$A$6:$G$65,7,FALSE),""))</f>
        <v>46</v>
      </c>
      <c r="G30" s="490"/>
      <c r="H30" s="487"/>
      <c r="J30" s="105">
        <f>IF(ISNUMBER(N30)=TRUE,VLOOKUP(J32,'Upis rezultata D sektora'!$D$2:$G$13,4,0),"")</f>
        <v>39</v>
      </c>
      <c r="K30" s="69" t="str">
        <f>IF(ISNUMBER(P27)=TRUE,VLOOKUP(J32,'Upis rezultata D sektora'!$D$2:$E$13,2,FALSE),"")</f>
        <v>Goran Funes</v>
      </c>
      <c r="L30" s="105">
        <f>IF(ISNUMBER(P27)=TRUE,VLOOKUP(K30,'Upis rezultata D sektora'!$E$2:$I$13,5,FALSE),"")</f>
        <v>8</v>
      </c>
      <c r="M30" s="88">
        <f>IF(ISNUMBER(L30)=TRUE,VLOOKUP(K30,'Upis rezultata D sektora'!$E$2:$G$13,2,FALSE),"")</f>
        <v>480</v>
      </c>
      <c r="N30" s="125">
        <f>IF(ISNUMBER(P27)=TRUE,VLOOKUP(J32,'Upis rezultata D sektora'!$D$2:$H$13,5,FALSE),"")</f>
        <v>12</v>
      </c>
      <c r="O30" s="119">
        <f>IF(ISBLANK(K30)=TRUE,"",IF(ISNUMBER(P27)=TRUE,VLOOKUP(K30,'Pojedinačni plasman'!$A$6:$G$65,7,FALSE),""))</f>
        <v>59</v>
      </c>
      <c r="P30" s="490"/>
      <c r="Q30" s="487"/>
    </row>
    <row r="31" spans="1:17" s="68" customFormat="1" ht="15.75" customHeight="1">
      <c r="A31" s="105">
        <f>IF(ISNUMBER(E31)=TRUE,VLOOKUP(A32,'Upis rezultata E sektora'!$D$2:$G$13,4,0),"")</f>
        <v>15</v>
      </c>
      <c r="B31" s="69" t="str">
        <f>IF(ISNUMBER(G27)=TRUE,VLOOKUP(A32,'Upis rezultata E sektora'!$D$2:$E$13,2,FALSE),"")</f>
        <v>Zlatko Auker</v>
      </c>
      <c r="C31" s="105">
        <f>IF(ISNUMBER(G27)=TRUE,VLOOKUP(B31,'Upis rezultata E sektora'!$E$2:$I$13,5,FALSE),"")</f>
        <v>3</v>
      </c>
      <c r="D31" s="88">
        <f>IF(ISNUMBER(C31)=TRUE,VLOOKUP(B31,'Upis rezultata E sektora'!$E$2:$G$13,2,FALSE),"")</f>
        <v>1256</v>
      </c>
      <c r="E31" s="125">
        <f>IF(ISNUMBER(G27)=TRUE,VLOOKUP(A32,'Upis rezultata E sektora'!$D$2:$H$13,5,FALSE),"")</f>
        <v>10.5</v>
      </c>
      <c r="F31" s="119">
        <f>IF(ISBLANK(B31)=TRUE,"",IF(ISNUMBER(G27)=TRUE,VLOOKUP(B31,'Pojedinačni plasman'!$A$6:$G$65,7,FALSE),""))</f>
        <v>48</v>
      </c>
      <c r="G31" s="490"/>
      <c r="H31" s="487"/>
      <c r="J31" s="105">
        <f>IF(ISNUMBER(N31)=TRUE,VLOOKUP(J32,'Upis rezultata E sektora'!$D$2:$G$13,4,0),"")</f>
        <v>40</v>
      </c>
      <c r="K31" s="69" t="str">
        <f>IF(ISNUMBER(P27)=TRUE,VLOOKUP(J32,'Upis rezultata E sektora'!$D$2:$E$13,2,FALSE),"")</f>
        <v>Stiven Palijan</v>
      </c>
      <c r="L31" s="105">
        <f>IF(ISNUMBER(P27)=TRUE,VLOOKUP(K31,'Upis rezultata E sektora'!$E$2:$I$13,5,FALSE),"")</f>
        <v>8</v>
      </c>
      <c r="M31" s="88">
        <f>IF(ISNUMBER(L31)=TRUE,VLOOKUP(K31,'Upis rezultata E sektora'!$E$2:$G$13,2,FALSE),"")</f>
        <v>1497</v>
      </c>
      <c r="N31" s="125">
        <f>IF(ISNUMBER(P27)=TRUE,VLOOKUP(J32,'Upis rezultata E sektora'!$D$2:$H$13,5,FALSE),"")</f>
        <v>6</v>
      </c>
      <c r="O31" s="119">
        <f>IF(ISBLANK(K31)=TRUE,"",IF(ISNUMBER(P27)=TRUE,VLOOKUP(K31,'Pojedinačni plasman'!$A$6:$G$65,7,FALSE),""))</f>
        <v>29</v>
      </c>
      <c r="P31" s="490"/>
      <c r="Q31" s="487"/>
    </row>
    <row r="32" spans="1:17" s="83" customFormat="1" ht="20.25">
      <c r="A32" s="483" t="str">
        <f>IF(ISNONTEXT('Ekipni plasman'!$B$9)=TRUE,"",'Ekipni plasman'!$B$9)</f>
        <v>Rak Rakitje</v>
      </c>
      <c r="B32" s="484"/>
      <c r="C32" s="485"/>
      <c r="D32" s="118">
        <f>IF(ISNONTEXT('Ekipni plasman'!$B$9)=TRUE,"",'Ekipni plasman'!$D$9)</f>
        <v>12682</v>
      </c>
      <c r="E32" s="132">
        <f>IF(ISNONTEXT('Ekipni plasman'!$B$9)=TRUE,"",'Ekipni plasman'!$C$9)</f>
        <v>29.5</v>
      </c>
      <c r="F32" s="87"/>
      <c r="G32" s="491"/>
      <c r="H32" s="488"/>
      <c r="J32" s="483" t="str">
        <f>IF(ISNONTEXT('Ekipni plasman'!$B$15)=TRUE,"",'Ekipni plasman'!$B$15)</f>
        <v>Klen N.Gradiška</v>
      </c>
      <c r="K32" s="484"/>
      <c r="L32" s="485"/>
      <c r="M32" s="118">
        <f>IF(ISNONTEXT('Ekipni plasman'!$B$15)=TRUE,"",'Ekipni plasman'!$D$15)</f>
        <v>6380</v>
      </c>
      <c r="N32" s="132">
        <f>IF(ISNONTEXT('Ekipni plasman'!$B$15)=TRUE,"",'Ekipni plasman'!$C$15)</f>
        <v>42</v>
      </c>
      <c r="O32" s="87"/>
      <c r="P32" s="491"/>
      <c r="Q32" s="488"/>
    </row>
    <row r="34" spans="1:17" s="68" customFormat="1" ht="15">
      <c r="A34" s="105">
        <f>IF(ISNUMBER(E34)=TRUE,VLOOKUP(A39,'Upis rezultata A sektora'!$D$2:$I$13,6,0),"")</f>
        <v>46</v>
      </c>
      <c r="B34" s="69" t="str">
        <f>IF(ISNUMBER(G34)=TRUE,VLOOKUP(A39,'Upis rezultata A sektora'!$D$2:$E$13,2,FALSE),"")</f>
        <v>Dalibor Agbaba</v>
      </c>
      <c r="C34" s="105">
        <f>IF(ISNUMBER(G34)=TRUE,VLOOKUP(B34,'Upis rezultata A sektora'!$E$2:$G$13,3,FALSE),"")</f>
        <v>10</v>
      </c>
      <c r="D34" s="88">
        <f>IF(ISNUMBER(C34)=TRUE,VLOOKUP(B34,'Upis rezultata A sektora'!$E$2:$G$13,2,FALSE),"")</f>
        <v>1765</v>
      </c>
      <c r="E34" s="125">
        <f>IF(ISNUMBER(G34)=TRUE,VLOOKUP(A39,'Upis rezultata A sektora'!$D$2:$H$13,5,FALSE),"")</f>
        <v>6</v>
      </c>
      <c r="F34" s="119">
        <f>IF(ISBLANK(B34)=TRUE,"",IF(ISNUMBER(G34)=TRUE,VLOOKUP(B34,'Pojedinačni plasman'!$A$6:$G$65,7,FALSE),""))</f>
        <v>28</v>
      </c>
      <c r="G34" s="489">
        <f>IF(ISNONTEXT('Ekipni plasman'!$B$10)=TRUE,"",'Ekipni plasman'!$F$10)</f>
        <v>5</v>
      </c>
      <c r="H34" s="486">
        <f>IF(ISNUMBER(G34)=TRUE,G34,"")</f>
        <v>5</v>
      </c>
      <c r="J34" s="105">
        <f>IF(ISNUMBER(N34)=TRUE,VLOOKUP(J39,'Upis rezultata A sektora'!$D$2:$I$13,6,0),"")</f>
        <v>21</v>
      </c>
      <c r="K34" s="69" t="str">
        <f>IF(ISNUMBER(P34)=TRUE,VLOOKUP(J39,'Upis rezultata A sektora'!$D$2:$E$13,2,FALSE),"")</f>
        <v>Ivica Bonino Hasan</v>
      </c>
      <c r="L34" s="105">
        <f>IF(ISNUMBER(P34)=TRUE,VLOOKUP(K34,'Upis rezultata A sektora'!$E$2:$G$13,3,FALSE),"")</f>
        <v>5</v>
      </c>
      <c r="M34" s="88">
        <f>IF(ISNUMBER(L34)=TRUE,VLOOKUP(K34,'Upis rezultata A sektora'!$E$2:$G$13,2,FALSE),"")</f>
        <v>475</v>
      </c>
      <c r="N34" s="125">
        <f>IF(ISNUMBER(P34)=TRUE,VLOOKUP(J39,'Upis rezultata A sektora'!$D$2:$H$13,5,FALSE),"")</f>
        <v>12</v>
      </c>
      <c r="O34" s="119">
        <f>IF(ISBLANK(K34)=TRUE,"",IF(ISNUMBER(P34)=TRUE,VLOOKUP(K34,'Pojedinačni plasman'!$A$6:$G$65,7,FALSE),""))</f>
        <v>60</v>
      </c>
      <c r="P34" s="489">
        <f>IF(ISNONTEXT('Ekipni plasman'!$B$16)=TRUE,"",'Ekipni plasman'!$F$16)</f>
        <v>11</v>
      </c>
      <c r="Q34" s="486">
        <f>IF(ISNUMBER(P34)=TRUE,P34,"")</f>
        <v>11</v>
      </c>
    </row>
    <row r="35" spans="1:17" s="68" customFormat="1" ht="15.75" customHeight="1">
      <c r="A35" s="105">
        <f>IF(ISNUMBER(E35)=TRUE,VLOOKUP(A39,'Upis rezultata B sektora'!$D$2:$G$13,4,0),"")</f>
        <v>47</v>
      </c>
      <c r="B35" s="69" t="str">
        <f>IF(ISNUMBER(G34)=TRUE,VLOOKUP(A39,'Upis rezultata B sektora'!$D$2:$E$13,2,FALSE),"")</f>
        <v>Anđelo Orač</v>
      </c>
      <c r="C35" s="105">
        <f>IF(ISNUMBER(G34)=TRUE,VLOOKUP(B35,'Upis rezultata B sektora'!$E$2:$I$13,5,FALSE),"")</f>
        <v>10</v>
      </c>
      <c r="D35" s="88">
        <f>IF(ISNUMBER(C35)=TRUE,VLOOKUP(B35,'Upis rezultata B sektora'!$E$2:$G$13,2,FALSE),"")</f>
        <v>1765</v>
      </c>
      <c r="E35" s="125">
        <f>IF(ISNUMBER(G34)=TRUE,VLOOKUP(A39,'Upis rezultata B sektora'!$D$2:$H$13,5,FALSE),"")</f>
        <v>8.5</v>
      </c>
      <c r="F35" s="119">
        <f>IF(ISBLANK(B35)=TRUE,"",IF(ISNUMBER(G34)=TRUE,VLOOKUP(B35,'Pojedinačni plasman'!$A$6:$G$65,7,FALSE),""))</f>
        <v>39</v>
      </c>
      <c r="G35" s="490"/>
      <c r="H35" s="487"/>
      <c r="J35" s="105">
        <f>IF(ISNUMBER(N35)=TRUE,VLOOKUP(J39,'Upis rezultata B sektora'!$D$2:$G$13,4,0),"")</f>
        <v>22</v>
      </c>
      <c r="K35" s="69" t="str">
        <f>IF(ISNUMBER(P34)=TRUE,VLOOKUP(J39,'Upis rezultata B sektora'!$D$2:$E$13,2,FALSE),"")</f>
        <v>Tihomir Hunjak</v>
      </c>
      <c r="L35" s="105">
        <f>IF(ISNUMBER(P34)=TRUE,VLOOKUP(K35,'Upis rezultata B sektora'!$E$2:$I$13,5,FALSE),"")</f>
        <v>5</v>
      </c>
      <c r="M35" s="88">
        <f>IF(ISNUMBER(L35)=TRUE,VLOOKUP(K35,'Upis rezultata B sektora'!$E$2:$G$13,2,FALSE),"")</f>
        <v>1004</v>
      </c>
      <c r="N35" s="125">
        <f>IF(ISNUMBER(P34)=TRUE,VLOOKUP(J39,'Upis rezultata B sektora'!$D$2:$H$13,5,FALSE),"")</f>
        <v>12</v>
      </c>
      <c r="O35" s="119">
        <f>IF(ISBLANK(K35)=TRUE,"",IF(ISNUMBER(P34)=TRUE,VLOOKUP(K35,'Pojedinačni plasman'!$A$6:$G$65,7,FALSE),""))</f>
        <v>57</v>
      </c>
      <c r="P35" s="490"/>
      <c r="Q35" s="487"/>
    </row>
    <row r="36" spans="1:17" s="68" customFormat="1" ht="15.75" customHeight="1">
      <c r="A36" s="105">
        <f>IF(ISNUMBER(E36)=TRUE,VLOOKUP(A39,'Upis rezultata C sektora'!$D$2:$G$13,4,0),"")</f>
        <v>48</v>
      </c>
      <c r="B36" s="69" t="str">
        <f>IF(ISNUMBER(G34)=TRUE,VLOOKUP(A39,'Upis rezultata C sektora'!$D$2:$E$13,2,FALSE),"")</f>
        <v>Zlatko Poparić</v>
      </c>
      <c r="C36" s="105">
        <f>IF(ISNUMBER(G34)=TRUE,VLOOKUP(B36,'Upis rezultata C sektora'!$E$2:$I$13,5,FALSE),"")</f>
        <v>10</v>
      </c>
      <c r="D36" s="88">
        <f>IF(ISNUMBER(C36)=TRUE,VLOOKUP(B36,'Upis rezultata C sektora'!$E$2:$G$13,2,FALSE),"")</f>
        <v>1765</v>
      </c>
      <c r="E36" s="125">
        <f>IF(ISNUMBER(G34)=TRUE,VLOOKUP(A39,'Upis rezultata C sektora'!$D$2:$H$13,5,FALSE),"")</f>
        <v>6.5</v>
      </c>
      <c r="F36" s="119">
        <f>IF(ISBLANK(B36)=TRUE,"",IF(ISNUMBER(G34)=TRUE,VLOOKUP(B36,'Pojedinačni plasman'!$A$6:$G$65,7,FALSE),""))</f>
        <v>30</v>
      </c>
      <c r="G36" s="490"/>
      <c r="H36" s="487"/>
      <c r="J36" s="105">
        <f>IF(ISNUMBER(N36)=TRUE,VLOOKUP(J39,'Upis rezultata C sektora'!$D$2:$G$13,4,0),"")</f>
        <v>23</v>
      </c>
      <c r="K36" s="69" t="str">
        <f>IF(ISNUMBER(P34)=TRUE,VLOOKUP(J39,'Upis rezultata C sektora'!$D$2:$E$13,2,FALSE),"")</f>
        <v>Marijan Lisjak</v>
      </c>
      <c r="L36" s="105">
        <f>IF(ISNUMBER(P34)=TRUE,VLOOKUP(K36,'Upis rezultata C sektora'!$E$2:$I$13,5,FALSE),"")</f>
        <v>5</v>
      </c>
      <c r="M36" s="88">
        <f>IF(ISNUMBER(L36)=TRUE,VLOOKUP(K36,'Upis rezultata C sektora'!$E$2:$G$13,2,FALSE),"")</f>
        <v>930</v>
      </c>
      <c r="N36" s="125">
        <f>IF(ISNUMBER(P34)=TRUE,VLOOKUP(J39,'Upis rezultata C sektora'!$D$2:$H$13,5,FALSE),"")</f>
        <v>10</v>
      </c>
      <c r="O36" s="119">
        <f>IF(ISBLANK(K36)=TRUE,"",IF(ISNUMBER(P34)=TRUE,VLOOKUP(K36,'Pojedinačni plasman'!$A$6:$G$65,7,FALSE),""))</f>
        <v>47</v>
      </c>
      <c r="P36" s="490"/>
      <c r="Q36" s="487"/>
    </row>
    <row r="37" spans="1:17" s="68" customFormat="1" ht="15.75" customHeight="1">
      <c r="A37" s="105">
        <f>IF(ISNUMBER(E37)=TRUE,VLOOKUP(A39,'Upis rezultata D sektora'!$D$2:$G$13,4,0),"")</f>
        <v>49</v>
      </c>
      <c r="B37" s="69" t="str">
        <f>IF(ISNUMBER(G34)=TRUE,VLOOKUP(A39,'Upis rezultata D sektora'!$D$2:$E$13,2,FALSE),"")</f>
        <v>Zlatko Kraljević</v>
      </c>
      <c r="C37" s="105">
        <f>IF(ISNUMBER(G34)=TRUE,VLOOKUP(B37,'Upis rezultata D sektora'!$E$2:$I$13,5,FALSE),"")</f>
        <v>10</v>
      </c>
      <c r="D37" s="88">
        <f>IF(ISNUMBER(C37)=TRUE,VLOOKUP(B37,'Upis rezultata D sektora'!$E$2:$G$13,2,FALSE),"")</f>
        <v>1765</v>
      </c>
      <c r="E37" s="125">
        <f>IF(ISNUMBER(G34)=TRUE,VLOOKUP(A39,'Upis rezultata D sektora'!$D$2:$H$13,5,FALSE),"")</f>
        <v>5.5</v>
      </c>
      <c r="F37" s="119">
        <f>IF(ISBLANK(B37)=TRUE,"",IF(ISNUMBER(G34)=TRUE,VLOOKUP(B37,'Pojedinačni plasman'!$A$6:$G$65,7,FALSE),""))</f>
        <v>25</v>
      </c>
      <c r="G37" s="490"/>
      <c r="H37" s="487"/>
      <c r="J37" s="105">
        <f>IF(ISNUMBER(N37)=TRUE,VLOOKUP(J39,'Upis rezultata D sektora'!$D$2:$G$13,4,0),"")</f>
        <v>24</v>
      </c>
      <c r="K37" s="69" t="str">
        <f>IF(ISNUMBER(P34)=TRUE,VLOOKUP(J39,'Upis rezultata D sektora'!$D$2:$E$13,2,FALSE),"")</f>
        <v>Damir Škorić</v>
      </c>
      <c r="L37" s="105">
        <f>IF(ISNUMBER(P34)=TRUE,VLOOKUP(K37,'Upis rezultata D sektora'!$E$2:$I$13,5,FALSE),"")</f>
        <v>5</v>
      </c>
      <c r="M37" s="88">
        <f>IF(ISNUMBER(L37)=TRUE,VLOOKUP(K37,'Upis rezultata D sektora'!$E$2:$G$13,2,FALSE),"")</f>
        <v>3700</v>
      </c>
      <c r="N37" s="125">
        <f>IF(ISNUMBER(P34)=TRUE,VLOOKUP(J39,'Upis rezultata D sektora'!$D$2:$H$13,5,FALSE),"")</f>
        <v>2</v>
      </c>
      <c r="O37" s="119">
        <f>IF(ISBLANK(K37)=TRUE,"",IF(ISNUMBER(P34)=TRUE,VLOOKUP(K37,'Pojedinačni plasman'!$A$6:$G$65,7,FALSE),""))</f>
        <v>9</v>
      </c>
      <c r="P37" s="490"/>
      <c r="Q37" s="487"/>
    </row>
    <row r="38" spans="1:17" s="68" customFormat="1" ht="15.75" customHeight="1">
      <c r="A38" s="105">
        <f>IF(ISNUMBER(E38)=TRUE,VLOOKUP(A39,'Upis rezultata E sektora'!$D$2:$G$13,4,0),"")</f>
        <v>50</v>
      </c>
      <c r="B38" s="69" t="str">
        <f>IF(ISNUMBER(G34)=TRUE,VLOOKUP(A39,'Upis rezultata E sektora'!$D$2:$E$13,2,FALSE),"")</f>
        <v>Zoran Štefanić</v>
      </c>
      <c r="C38" s="105">
        <f>IF(ISNUMBER(G34)=TRUE,VLOOKUP(B38,'Upis rezultata E sektora'!$E$2:$I$13,5,FALSE),"")</f>
        <v>10</v>
      </c>
      <c r="D38" s="88">
        <f>IF(ISNUMBER(C38)=TRUE,VLOOKUP(B38,'Upis rezultata E sektora'!$E$2:$G$13,2,FALSE),"")</f>
        <v>1765</v>
      </c>
      <c r="E38" s="125">
        <f>IF(ISNUMBER(G34)=TRUE,VLOOKUP(A39,'Upis rezultata E sektora'!$D$2:$H$13,5,FALSE),"")</f>
        <v>3.5</v>
      </c>
      <c r="F38" s="119">
        <f>IF(ISBLANK(B38)=TRUE,"",IF(ISNUMBER(G34)=TRUE,VLOOKUP(B38,'Pojedinačni plasman'!$A$6:$G$65,7,FALSE),""))</f>
        <v>15</v>
      </c>
      <c r="G38" s="490"/>
      <c r="H38" s="487"/>
      <c r="J38" s="105">
        <f>IF(ISNUMBER(N38)=TRUE,VLOOKUP(J39,'Upis rezultata E sektora'!$D$2:$G$13,4,0),"")</f>
        <v>25</v>
      </c>
      <c r="K38" s="69" t="str">
        <f>IF(ISNUMBER(P34)=TRUE,VLOOKUP(J39,'Upis rezultata E sektora'!$D$2:$E$13,2,FALSE),"")</f>
        <v>Kristijan Kosmačin</v>
      </c>
      <c r="L38" s="105">
        <f>IF(ISNUMBER(P34)=TRUE,VLOOKUP(K38,'Upis rezultata E sektora'!$E$2:$I$13,5,FALSE),"")</f>
        <v>5</v>
      </c>
      <c r="M38" s="88">
        <f>IF(ISNUMBER(L38)=TRUE,VLOOKUP(K38,'Upis rezultata E sektora'!$E$2:$G$13,2,FALSE),"")</f>
        <v>1325</v>
      </c>
      <c r="N38" s="125">
        <f>IF(ISNUMBER(P34)=TRUE,VLOOKUP(J39,'Upis rezultata E sektora'!$D$2:$H$13,5,FALSE),"")</f>
        <v>8.5</v>
      </c>
      <c r="O38" s="119">
        <f>IF(ISBLANK(K38)=TRUE,"",IF(ISNUMBER(P34)=TRUE,VLOOKUP(K38,'Pojedinačni plasman'!$A$6:$G$65,7,FALSE),""))</f>
        <v>41</v>
      </c>
      <c r="P38" s="490"/>
      <c r="Q38" s="487"/>
    </row>
    <row r="39" spans="1:17" s="83" customFormat="1" ht="20.25">
      <c r="A39" s="483" t="str">
        <f>IF(ISNONTEXT('Ekipni plasman'!$B$10)=TRUE,"",'Ekipni plasman'!$B$10)</f>
        <v>TPK Zagreb</v>
      </c>
      <c r="B39" s="484"/>
      <c r="C39" s="485"/>
      <c r="D39" s="118">
        <f>IF(ISNONTEXT('Ekipni plasman'!$B$10)=TRUE,"",'Ekipni plasman'!$D$10)</f>
        <v>8825</v>
      </c>
      <c r="E39" s="132">
        <f>IF(ISNONTEXT('Ekipni plasman'!$B$10)=TRUE,"",'Ekipni plasman'!$C$10)</f>
        <v>30</v>
      </c>
      <c r="F39" s="87"/>
      <c r="G39" s="491"/>
      <c r="H39" s="488"/>
      <c r="J39" s="483" t="str">
        <f>IF(ISNONTEXT('Ekipni plasman'!$B$16)=TRUE,"",'Ekipni plasman'!$B$16)</f>
        <v>Varaždin Varaždin</v>
      </c>
      <c r="K39" s="484"/>
      <c r="L39" s="485"/>
      <c r="M39" s="118">
        <f>IF(ISNONTEXT('Ekipni plasman'!$B$16)=TRUE,"",'Ekipni plasman'!$D$16)</f>
        <v>7434</v>
      </c>
      <c r="N39" s="132">
        <f>IF(ISNONTEXT('Ekipni plasman'!$B$16)=TRUE,"",'Ekipni plasman'!$C$16)</f>
        <v>44.5</v>
      </c>
      <c r="O39" s="87"/>
      <c r="P39" s="491"/>
      <c r="Q39" s="488"/>
    </row>
    <row r="41" spans="1:17" s="68" customFormat="1" ht="15">
      <c r="A41" s="105">
        <f>IF(ISNUMBER(E41)=TRUE,VLOOKUP(A46,'Upis rezultata A sektora'!$D$2:$I$13,6,0),"")</f>
        <v>6</v>
      </c>
      <c r="B41" s="69" t="str">
        <f>IF(ISNUMBER(G41)=TRUE,VLOOKUP(A46,'Upis rezultata A sektora'!$D$2:$E$13,2,FALSE),"")</f>
        <v>Goran Štargl</v>
      </c>
      <c r="C41" s="105">
        <f>IF(ISNUMBER(G41)=TRUE,VLOOKUP(B41,'Upis rezultata A sektora'!$E$2:$G$13,3,FALSE),"")</f>
        <v>2</v>
      </c>
      <c r="D41" s="88">
        <f>IF(ISNUMBER(C41)=TRUE,VLOOKUP(B41,'Upis rezultata A sektora'!$E$2:$G$13,2,FALSE),"")</f>
        <v>4235</v>
      </c>
      <c r="E41" s="125">
        <f>IF(ISNUMBER(G41)=TRUE,VLOOKUP(A46,'Upis rezultata A sektora'!$D$2:$H$13,5,FALSE),"")</f>
        <v>2</v>
      </c>
      <c r="F41" s="119">
        <f>IF(ISBLANK(B41)=TRUE,"",IF(ISNUMBER(G41)=TRUE,VLOOKUP(B41,'Pojedinačni plasman'!$A$6:$G$65,7,FALSE),""))</f>
        <v>7</v>
      </c>
      <c r="G41" s="489">
        <f>IF(ISNONTEXT('Ekipni plasman'!$B$11)=TRUE,"",'Ekipni plasman'!$F$11)</f>
        <v>6</v>
      </c>
      <c r="H41" s="486">
        <f>IF(ISNUMBER(G41)=TRUE,G41,"")</f>
        <v>6</v>
      </c>
      <c r="J41" s="105">
        <f>IF(ISNUMBER(N41)=TRUE,VLOOKUP(J46,'Upis rezultata A sektora'!$D$2:$I$13,6,0),"")</f>
        <v>16</v>
      </c>
      <c r="K41" s="69" t="str">
        <f>IF(ISNUMBER(P41)=TRUE,VLOOKUP(J46,'Upis rezultata A sektora'!$D$2:$E$13,2,FALSE),"")</f>
        <v>Emil Lukman</v>
      </c>
      <c r="L41" s="105">
        <f>IF(ISNUMBER(P41)=TRUE,VLOOKUP(K41,'Upis rezultata A sektora'!$E$2:$G$13,3,FALSE),"")</f>
        <v>4</v>
      </c>
      <c r="M41" s="88">
        <f>IF(ISNUMBER(L41)=TRUE,VLOOKUP(K41,'Upis rezultata A sektora'!$E$2:$G$13,2,FALSE),"")</f>
        <v>905</v>
      </c>
      <c r="N41" s="125">
        <f>IF(ISNUMBER(P41)=TRUE,VLOOKUP(J46,'Upis rezultata A sektora'!$D$2:$H$13,5,FALSE),"")</f>
        <v>10.5</v>
      </c>
      <c r="O41" s="119">
        <f>IF(ISBLANK(K41)=TRUE,"",IF(ISNUMBER(P41)=TRUE,VLOOKUP(K41,'Pojedinačni plasman'!$A$6:$G$65,7,FALSE),""))</f>
        <v>52</v>
      </c>
      <c r="P41" s="489">
        <f>IF(ISNONTEXT('Ekipni plasman'!$B$17)=TRUE,"",'Ekipni plasman'!$F$17)</f>
        <v>12</v>
      </c>
      <c r="Q41" s="486">
        <f>IF(ISNUMBER(P41)=TRUE,P41,"")</f>
        <v>12</v>
      </c>
    </row>
    <row r="42" spans="1:17" s="68" customFormat="1" ht="15.75" customHeight="1">
      <c r="A42" s="105">
        <f>IF(ISNUMBER(E42)=TRUE,VLOOKUP(A46,'Upis rezultata B sektora'!$D$2:$G$13,4,0),"")</f>
        <v>7</v>
      </c>
      <c r="B42" s="69" t="str">
        <f>IF(ISNUMBER(G41)=TRUE,VLOOKUP(A46,'Upis rezultata B sektora'!$D$2:$E$13,2,FALSE),"")</f>
        <v>Goran Matijašić</v>
      </c>
      <c r="C42" s="105">
        <f>IF(ISNUMBER(G41)=TRUE,VLOOKUP(B42,'Upis rezultata B sektora'!$E$2:$I$13,5,FALSE),"")</f>
        <v>2</v>
      </c>
      <c r="D42" s="88">
        <f>IF(ISNUMBER(C42)=TRUE,VLOOKUP(B42,'Upis rezultata B sektora'!$E$2:$G$13,2,FALSE),"")</f>
        <v>2536</v>
      </c>
      <c r="E42" s="125">
        <f>IF(ISNUMBER(G41)=TRUE,VLOOKUP(A46,'Upis rezultata B sektora'!$D$2:$H$13,5,FALSE),"")</f>
        <v>3</v>
      </c>
      <c r="F42" s="119">
        <f>IF(ISBLANK(B42)=TRUE,"",IF(ISNUMBER(G41)=TRUE,VLOOKUP(B42,'Pojedinačni plasman'!$A$6:$G$65,7,FALSE),""))</f>
        <v>14</v>
      </c>
      <c r="G42" s="490"/>
      <c r="H42" s="487"/>
      <c r="J42" s="105">
        <f>IF(ISNUMBER(N42)=TRUE,VLOOKUP(J46,'Upis rezultata B sektora'!$D$2:$G$13,4,0),"")</f>
        <v>17</v>
      </c>
      <c r="K42" s="69" t="str">
        <f>IF(ISNUMBER(P41)=TRUE,VLOOKUP(J46,'Upis rezultata B sektora'!$D$2:$E$13,2,FALSE),"")</f>
        <v>Vladimir Šuker</v>
      </c>
      <c r="L42" s="105">
        <f>IF(ISNUMBER(P41)=TRUE,VLOOKUP(K42,'Upis rezultata B sektora'!$E$2:$I$13,5,FALSE),"")</f>
        <v>4</v>
      </c>
      <c r="M42" s="88">
        <f>IF(ISNUMBER(L42)=TRUE,VLOOKUP(K42,'Upis rezultata B sektora'!$E$2:$G$13,2,FALSE),"")</f>
        <v>2320</v>
      </c>
      <c r="N42" s="125">
        <f>IF(ISNUMBER(P41)=TRUE,VLOOKUP(J46,'Upis rezultata B sektora'!$D$2:$H$13,5,FALSE),"")</f>
        <v>5</v>
      </c>
      <c r="O42" s="119">
        <f>IF(ISBLANK(K42)=TRUE,"",IF(ISNUMBER(P41)=TRUE,VLOOKUP(K42,'Pojedinačni plasman'!$A$6:$G$65,7,FALSE),""))</f>
        <v>21</v>
      </c>
      <c r="P42" s="490"/>
      <c r="Q42" s="487"/>
    </row>
    <row r="43" spans="1:17" s="68" customFormat="1" ht="15.75" customHeight="1">
      <c r="A43" s="105">
        <f>IF(ISNUMBER(E43)=TRUE,VLOOKUP(A46,'Upis rezultata C sektora'!$D$2:$G$13,4,0),"")</f>
        <v>8</v>
      </c>
      <c r="B43" s="69" t="str">
        <f>IF(ISNUMBER(G41)=TRUE,VLOOKUP(A46,'Upis rezultata C sektora'!$D$2:$E$13,2,FALSE),"")</f>
        <v>Danijel Picer</v>
      </c>
      <c r="C43" s="105">
        <f>IF(ISNUMBER(G41)=TRUE,VLOOKUP(B43,'Upis rezultata C sektora'!$E$2:$I$13,5,FALSE),"")</f>
        <v>2</v>
      </c>
      <c r="D43" s="88">
        <f>IF(ISNUMBER(C43)=TRUE,VLOOKUP(B43,'Upis rezultata C sektora'!$E$2:$G$13,2,FALSE),"")</f>
        <v>1354</v>
      </c>
      <c r="E43" s="125">
        <f>IF(ISNUMBER(G41)=TRUE,VLOOKUP(A46,'Upis rezultata C sektora'!$D$2:$H$13,5,FALSE),"")</f>
        <v>8</v>
      </c>
      <c r="F43" s="119">
        <f>IF(ISBLANK(B43)=TRUE,"",IF(ISNUMBER(G41)=TRUE,VLOOKUP(B43,'Pojedinačni plasman'!$A$6:$G$65,7,FALSE),""))</f>
        <v>37</v>
      </c>
      <c r="G43" s="490"/>
      <c r="H43" s="487"/>
      <c r="J43" s="105">
        <f>IF(ISNUMBER(N43)=TRUE,VLOOKUP(J46,'Upis rezultata C sektora'!$D$2:$G$13,4,0),"")</f>
        <v>18</v>
      </c>
      <c r="K43" s="69" t="str">
        <f>IF(ISNUMBER(P41)=TRUE,VLOOKUP(J46,'Upis rezultata C sektora'!$D$2:$E$13,2,FALSE),"")</f>
        <v>Ivo Begović</v>
      </c>
      <c r="L43" s="105">
        <f>IF(ISNUMBER(P41)=TRUE,VLOOKUP(K43,'Upis rezultata C sektora'!$E$2:$I$13,5,FALSE),"")</f>
        <v>4</v>
      </c>
      <c r="M43" s="88">
        <f>IF(ISNUMBER(L43)=TRUE,VLOOKUP(K43,'Upis rezultata C sektora'!$E$2:$G$13,2,FALSE),"")</f>
        <v>670</v>
      </c>
      <c r="N43" s="125">
        <f>IF(ISNUMBER(P41)=TRUE,VLOOKUP(J46,'Upis rezultata C sektora'!$D$2:$H$13,5,FALSE),"")</f>
        <v>11</v>
      </c>
      <c r="O43" s="119">
        <f>IF(ISBLANK(K43)=TRUE,"",IF(ISNUMBER(P41)=TRUE,VLOOKUP(K43,'Pojedinačni plasman'!$A$6:$G$65,7,FALSE),""))</f>
        <v>55</v>
      </c>
      <c r="P43" s="490"/>
      <c r="Q43" s="487"/>
    </row>
    <row r="44" spans="1:17" s="68" customFormat="1" ht="15.75" customHeight="1">
      <c r="A44" s="105">
        <f>IF(ISNUMBER(E44)=TRUE,VLOOKUP(A46,'Upis rezultata D sektora'!$D$2:$G$13,4,0),"")</f>
        <v>9</v>
      </c>
      <c r="B44" s="69" t="str">
        <f>IF(ISNUMBER(G41)=TRUE,VLOOKUP(A46,'Upis rezultata D sektora'!$D$2:$E$13,2,FALSE),"")</f>
        <v>Hrvoje Horvat</v>
      </c>
      <c r="C44" s="105">
        <f>IF(ISNUMBER(G41)=TRUE,VLOOKUP(B44,'Upis rezultata D sektora'!$E$2:$I$13,5,FALSE),"")</f>
        <v>2</v>
      </c>
      <c r="D44" s="88">
        <f>IF(ISNUMBER(C44)=TRUE,VLOOKUP(B44,'Upis rezultata D sektora'!$E$2:$G$13,2,FALSE),"")</f>
        <v>1098</v>
      </c>
      <c r="E44" s="125">
        <f>IF(ISNUMBER(G41)=TRUE,VLOOKUP(A46,'Upis rezultata D sektora'!$D$2:$H$13,5,FALSE),"")</f>
        <v>11</v>
      </c>
      <c r="F44" s="119">
        <f>IF(ISBLANK(B44)=TRUE,"",IF(ISNUMBER(G41)=TRUE,VLOOKUP(B44,'Pojedinačni plasman'!$A$6:$G$65,7,FALSE),""))</f>
        <v>54</v>
      </c>
      <c r="G44" s="490"/>
      <c r="H44" s="487"/>
      <c r="J44" s="105">
        <f>IF(ISNUMBER(N44)=TRUE,VLOOKUP(J46,'Upis rezultata D sektora'!$D$2:$G$13,4,0),"")</f>
        <v>19</v>
      </c>
      <c r="K44" s="69" t="str">
        <f>IF(ISNUMBER(P41)=TRUE,VLOOKUP(J46,'Upis rezultata D sektora'!$D$2:$E$13,2,FALSE),"")</f>
        <v>Marijan Jurić</v>
      </c>
      <c r="L44" s="105">
        <f>IF(ISNUMBER(P41)=TRUE,VLOOKUP(K44,'Upis rezultata D sektora'!$E$2:$I$13,5,FALSE),"")</f>
        <v>4</v>
      </c>
      <c r="M44" s="88">
        <f>IF(ISNUMBER(L44)=TRUE,VLOOKUP(K44,'Upis rezultata D sektora'!$E$2:$G$13,2,FALSE),"")</f>
        <v>1325</v>
      </c>
      <c r="N44" s="125">
        <f>IF(ISNUMBER(P41)=TRUE,VLOOKUP(J46,'Upis rezultata D sektora'!$D$2:$H$13,5,FALSE),"")</f>
        <v>9</v>
      </c>
      <c r="O44" s="119">
        <f>IF(ISBLANK(K44)=TRUE,"",IF(ISNUMBER(P41)=TRUE,VLOOKUP(K44,'Pojedinačni plasman'!$A$6:$G$65,7,FALSE),""))</f>
        <v>43</v>
      </c>
      <c r="P44" s="490"/>
      <c r="Q44" s="487"/>
    </row>
    <row r="45" spans="1:17" s="68" customFormat="1" ht="15.75" customHeight="1">
      <c r="A45" s="105">
        <f>IF(ISNUMBER(E45)=TRUE,VLOOKUP(A46,'Upis rezultata E sektora'!$D$2:$G$13,4,0),"")</f>
        <v>10</v>
      </c>
      <c r="B45" s="69" t="str">
        <f>IF(ISNUMBER(G41)=TRUE,VLOOKUP(A46,'Upis rezultata E sektora'!$D$2:$E$13,2,FALSE),"")</f>
        <v>Saša Mustač</v>
      </c>
      <c r="C45" s="105">
        <f>IF(ISNUMBER(G41)=TRUE,VLOOKUP(B45,'Upis rezultata E sektora'!$E$2:$I$13,5,FALSE),"")</f>
        <v>2</v>
      </c>
      <c r="D45" s="88">
        <f>IF(ISNUMBER(C45)=TRUE,VLOOKUP(B45,'Upis rezultata E sektora'!$E$2:$G$13,2,FALSE),"")</f>
        <v>1045</v>
      </c>
      <c r="E45" s="125">
        <f>IF(ISNUMBER(G41)=TRUE,VLOOKUP(A46,'Upis rezultata E sektora'!$D$2:$H$13,5,FALSE),"")</f>
        <v>12</v>
      </c>
      <c r="F45" s="119">
        <f>IF(ISBLANK(B45)=TRUE,"",IF(ISNUMBER(G41)=TRUE,VLOOKUP(B45,'Pojedinačni plasman'!$A$6:$G$65,7,FALSE),""))</f>
        <v>56</v>
      </c>
      <c r="G45" s="490"/>
      <c r="H45" s="487"/>
      <c r="J45" s="105">
        <f>IF(ISNUMBER(N45)=TRUE,VLOOKUP(J46,'Upis rezultata E sektora'!$D$2:$G$13,4,0),"")</f>
        <v>20</v>
      </c>
      <c r="K45" s="69" t="str">
        <f>IF(ISNUMBER(P41)=TRUE,VLOOKUP(J46,'Upis rezultata E sektora'!$D$2:$E$13,2,FALSE),"")</f>
        <v>Dražen Štajduhar</v>
      </c>
      <c r="L45" s="105">
        <f>IF(ISNUMBER(P41)=TRUE,VLOOKUP(K45,'Upis rezultata E sektora'!$E$2:$I$13,5,FALSE),"")</f>
        <v>4</v>
      </c>
      <c r="M45" s="88">
        <f>IF(ISNUMBER(L45)=TRUE,VLOOKUP(K45,'Upis rezultata E sektora'!$E$2:$G$13,2,FALSE),"")</f>
        <v>1256</v>
      </c>
      <c r="N45" s="125">
        <f>IF(ISNUMBER(P41)=TRUE,VLOOKUP(J46,'Upis rezultata E sektora'!$D$2:$H$13,5,FALSE),"")</f>
        <v>10.5</v>
      </c>
      <c r="O45" s="119">
        <f>IF(ISBLANK(K45)=TRUE,"",IF(ISNUMBER(P41)=TRUE,VLOOKUP(K45,'Pojedinačni plasman'!$A$6:$G$65,7,FALSE),""))</f>
        <v>48</v>
      </c>
      <c r="P45" s="490"/>
      <c r="Q45" s="487"/>
    </row>
    <row r="46" spans="1:17" s="83" customFormat="1" ht="20.25">
      <c r="A46" s="483" t="str">
        <f>IF(ISNONTEXT('Ekipni plasman'!$B$11)=TRUE,"",'Ekipni plasman'!$B$11)</f>
        <v>Štuka Torčec</v>
      </c>
      <c r="B46" s="484"/>
      <c r="C46" s="485"/>
      <c r="D46" s="118">
        <f>IF(ISNONTEXT('Ekipni plasman'!$B$11)=TRUE,"",'Ekipni plasman'!$D$11)</f>
        <v>10268</v>
      </c>
      <c r="E46" s="132">
        <f>IF(ISNONTEXT('Ekipni plasman'!$B$11)=TRUE,"",'Ekipni plasman'!$C$11)</f>
        <v>36</v>
      </c>
      <c r="F46" s="87"/>
      <c r="G46" s="491"/>
      <c r="H46" s="488"/>
      <c r="J46" s="483" t="str">
        <f>IF(ISNONTEXT('Ekipni plasman'!$B$17)=TRUE,"",'Ekipni plasman'!$B$17)</f>
        <v>Bjelovar Bjelovar</v>
      </c>
      <c r="K46" s="484"/>
      <c r="L46" s="485"/>
      <c r="M46" s="118">
        <f>IF(ISNONTEXT('Ekipni plasman'!$B$17)=TRUE,"",'Ekipni plasman'!$D$17)</f>
        <v>6476</v>
      </c>
      <c r="N46" s="132">
        <f>IF(ISNONTEXT('Ekipni plasman'!$B$17)=TRUE,"",'Ekipni plasman'!$C$17)</f>
        <v>46</v>
      </c>
      <c r="O46" s="87"/>
      <c r="P46" s="491"/>
      <c r="Q46" s="488"/>
    </row>
    <row r="48" spans="1:17" s="68" customFormat="1" ht="15.75">
      <c r="A48" s="31"/>
      <c r="B48" s="31" t="s">
        <v>216</v>
      </c>
      <c r="C48" s="31"/>
      <c r="D48" s="120"/>
      <c r="E48" s="126"/>
      <c r="F48" s="31" t="s">
        <v>11</v>
      </c>
      <c r="G48" s="104"/>
      <c r="H48" s="31"/>
      <c r="J48" s="31"/>
      <c r="K48" s="31" t="s">
        <v>146</v>
      </c>
      <c r="L48" s="31"/>
      <c r="M48" s="120"/>
      <c r="N48" s="126"/>
      <c r="O48" s="31" t="s">
        <v>147</v>
      </c>
      <c r="P48" s="127" t="str">
        <f>IF(ISNUMBER(G6)=TRUE,"1/1","")</f>
        <v>1/1</v>
      </c>
      <c r="Q48" s="31"/>
    </row>
    <row r="49" spans="1:17" s="68" customFormat="1" ht="15.75">
      <c r="A49" s="31"/>
      <c r="B49" s="31" t="str">
        <f>IF(ISBLANK('Organizacija natjecanja'!$H$20)=TRUE,"",'Organizacija natjecanja'!$H$20)</f>
        <v>Mladen Čačić</v>
      </c>
      <c r="C49" s="31"/>
      <c r="D49" s="120"/>
      <c r="E49" s="126"/>
      <c r="F49" s="31" t="str">
        <f>IF(ISBLANK('Organizacija natjecanja'!$H$16)=TRUE,"",'Organizacija natjecanja'!$H$16)</f>
        <v>Antun Kedmenec</v>
      </c>
      <c r="G49" s="104"/>
      <c r="H49" s="31"/>
      <c r="J49" s="31"/>
      <c r="K49" s="31" t="str">
        <f>IF(ISBLANK('Organizacija natjecanja'!$H$18)=TRUE,"",'Organizacija natjecanja'!$H$18)</f>
        <v>Pavao Umnik</v>
      </c>
      <c r="L49" s="31"/>
      <c r="M49" s="120"/>
      <c r="N49" s="126"/>
      <c r="O49" s="31"/>
      <c r="P49" s="104"/>
      <c r="Q49" s="31"/>
    </row>
  </sheetData>
  <sheetProtection password="C7E2" sheet="1" objects="1" scenarios="1"/>
  <mergeCells count="36">
    <mergeCell ref="Q27:Q32"/>
    <mergeCell ref="Q34:Q39"/>
    <mergeCell ref="H34:H39"/>
    <mergeCell ref="H41:H46"/>
    <mergeCell ref="Q41:Q46"/>
    <mergeCell ref="P41:P46"/>
    <mergeCell ref="P34:P39"/>
    <mergeCell ref="P27:P32"/>
    <mergeCell ref="Q6:Q11"/>
    <mergeCell ref="Q13:Q18"/>
    <mergeCell ref="H13:H18"/>
    <mergeCell ref="H20:H25"/>
    <mergeCell ref="Q20:Q25"/>
    <mergeCell ref="P20:P25"/>
    <mergeCell ref="P13:P18"/>
    <mergeCell ref="P6:P11"/>
    <mergeCell ref="A39:C39"/>
    <mergeCell ref="J39:L39"/>
    <mergeCell ref="A46:C46"/>
    <mergeCell ref="J46:L46"/>
    <mergeCell ref="G41:G46"/>
    <mergeCell ref="G34:G39"/>
    <mergeCell ref="A25:C25"/>
    <mergeCell ref="J25:L25"/>
    <mergeCell ref="A32:C32"/>
    <mergeCell ref="J32:L32"/>
    <mergeCell ref="H27:H32"/>
    <mergeCell ref="G27:G32"/>
    <mergeCell ref="G20:G25"/>
    <mergeCell ref="A11:C11"/>
    <mergeCell ref="J11:L11"/>
    <mergeCell ref="A18:C18"/>
    <mergeCell ref="J18:L18"/>
    <mergeCell ref="H6:H11"/>
    <mergeCell ref="G13:G18"/>
    <mergeCell ref="G6:G11"/>
  </mergeCells>
  <printOptions horizontalCentered="1" verticalCentered="1"/>
  <pageMargins left="0.57" right="0.51" top="0.21" bottom="0.26" header="2.78" footer="0.14"/>
  <pageSetup horizontalDpi="300" verticalDpi="300" orientation="landscape" paperSize="9" scale="69" r:id="rId2"/>
  <headerFooter alignWithMargins="0">
    <oddHeader>&amp;C&amp;G</oddHeader>
    <oddFooter>&amp;C&amp;"Arial,Kurziv"&amp;9&amp;Y&amp;F - Mladen Čačić(098/871 644)</oddFooter>
  </headerFooter>
  <legacyDrawingHF r:id="rId1"/>
</worksheet>
</file>

<file path=xl/worksheets/sheet17.xml><?xml version="1.0" encoding="utf-8"?>
<worksheet xmlns="http://schemas.openxmlformats.org/spreadsheetml/2006/main" xmlns:r="http://schemas.openxmlformats.org/officeDocument/2006/relationships">
  <sheetPr codeName="Sheet11">
    <tabColor indexed="13"/>
  </sheetPr>
  <dimension ref="A1:E89"/>
  <sheetViews>
    <sheetView showRowColHeaders="0" zoomScalePageLayoutView="0" workbookViewId="0" topLeftCell="A91">
      <selection activeCell="A1" sqref="A1:IV90"/>
    </sheetView>
  </sheetViews>
  <sheetFormatPr defaultColWidth="9.140625" defaultRowHeight="12.75"/>
  <cols>
    <col min="1" max="1" width="10.421875" style="16" customWidth="1"/>
    <col min="2" max="3" width="8.8515625" style="16" customWidth="1"/>
    <col min="4" max="4" width="18.57421875" style="16" customWidth="1"/>
    <col min="5" max="5" width="17.140625" style="16" customWidth="1"/>
    <col min="6" max="6" width="14.28125" style="16" customWidth="1"/>
    <col min="7" max="7" width="15.28125" style="16" customWidth="1"/>
    <col min="8" max="8" width="17.140625" style="16" customWidth="1"/>
    <col min="9" max="16384" width="9.140625" style="16" customWidth="1"/>
  </cols>
  <sheetData>
    <row r="1" ht="12.75" hidden="1">
      <c r="D1" s="56" t="s">
        <v>77</v>
      </c>
    </row>
    <row r="2" ht="12.75" hidden="1">
      <c r="D2" s="56" t="str">
        <f>IF(ISNONTEXT('Organizacija natjecanja'!H2)=TRUE,"",'Organizacija natjecanja'!H2)</f>
        <v>KUP "BLJESAK"</v>
      </c>
    </row>
    <row r="3" spans="4:5" ht="12.75" hidden="1">
      <c r="D3" s="57"/>
      <c r="E3" s="58" t="str">
        <f>IF(ISNONTEXT('Organizacija natjecanja'!H5)=TRUE,"",'Organizacija natjecanja'!H5)</f>
        <v>Lipik, 28.04.2009.g.</v>
      </c>
    </row>
    <row r="4" spans="4:5" ht="12.75" hidden="1">
      <c r="D4" s="57"/>
      <c r="E4" s="58"/>
    </row>
    <row r="5" spans="2:5" ht="12.75" hidden="1">
      <c r="B5" s="33" t="str">
        <f>IF(ISNONTEXT('Upis rezultata A sektora'!E2)=TRUE,"","SEKTOR A")</f>
        <v>SEKTOR A</v>
      </c>
      <c r="E5" s="73"/>
    </row>
    <row r="6" ht="12.75" hidden="1">
      <c r="C6" s="57"/>
    </row>
    <row r="7" spans="1:5" ht="25.5" hidden="1">
      <c r="A7" s="59" t="str">
        <f>IF(ISNONTEXT('Upis rezultata A sektora'!E2)=TRUE,"","Sektorski plasman")</f>
        <v>Sektorski plasman</v>
      </c>
      <c r="B7" s="14" t="str">
        <f>IF(ISNONTEXT('Upis rezultata A sektora'!E2)=TRUE,"","Bodova")</f>
        <v>Bodova</v>
      </c>
      <c r="C7" s="59" t="str">
        <f>IF(ISNONTEXT('Upis rezultata A sektora'!E2)=TRUE,"","Startni broj")</f>
        <v>Startni broj</v>
      </c>
      <c r="D7" s="14" t="str">
        <f>IF(ISNONTEXT('Upis rezultata A sektora'!E2)=TRUE,"","Ime i prezime")</f>
        <v>Ime i prezime</v>
      </c>
      <c r="E7" s="14" t="str">
        <f>IF(ISNONTEXT('Upis rezultata A sektora'!E2)=TRUE,"","Ekipa")</f>
        <v>Ekipa</v>
      </c>
    </row>
    <row r="8" spans="1:5" ht="12.75" hidden="1">
      <c r="A8" s="56">
        <f>IF(ISNUMBER('Upis rezultata A sektora'!B2)=FALSE,"",'Upis rezultata A sektora'!B2)</f>
        <v>1</v>
      </c>
      <c r="B8" s="57">
        <f>IF(ISNUMBER('Upis rezultata A sektora'!F2)=FALSE,"",'Upis rezultata A sektora'!F2)</f>
        <v>5000</v>
      </c>
      <c r="C8" s="60">
        <f>IF(ISNUMBER('Upis rezultata A sektora'!C2)=FALSE,"",'Upis rezultata A sektora'!C2)</f>
        <v>1</v>
      </c>
      <c r="D8" s="16" t="str">
        <f>IF(ISNONTEXT('Upis rezultata A sektora'!E2)=TRUE,"",'Upis rezultata A sektora'!E2)</f>
        <v>Elvis Šinko</v>
      </c>
      <c r="E8" s="16" t="str">
        <f>IF(ISNONTEXT('Upis rezultata A sektora'!D2)=TRUE,"",'Upis rezultata A sektora'!D2)</f>
        <v>Korana Karlovac</v>
      </c>
    </row>
    <row r="9" spans="1:5" ht="12.75" hidden="1">
      <c r="A9" s="56">
        <f>IF(ISNUMBER('Upis rezultata A sektora'!B3)=FALSE,"",'Upis rezultata A sektora'!B3)</f>
        <v>2</v>
      </c>
      <c r="B9" s="57">
        <f>IF(ISNUMBER('Upis rezultata A sektora'!F3)=FALSE,"",'Upis rezultata A sektora'!F3)</f>
        <v>4235</v>
      </c>
      <c r="C9" s="60">
        <f>IF(ISNUMBER('Upis rezultata A sektora'!C3)=FALSE,"",'Upis rezultata A sektora'!C3)</f>
        <v>2</v>
      </c>
      <c r="D9" s="16" t="str">
        <f>IF(ISNONTEXT('Upis rezultata A sektora'!E3)=TRUE,"",'Upis rezultata A sektora'!E3)</f>
        <v>Goran Štargl</v>
      </c>
      <c r="E9" s="16" t="str">
        <f>IF(ISNONTEXT('Upis rezultata A sektora'!D3)=TRUE,"",'Upis rezultata A sektora'!D3)</f>
        <v>Štuka Torčec</v>
      </c>
    </row>
    <row r="10" spans="1:5" ht="12.75" hidden="1">
      <c r="A10" s="56">
        <f>IF(ISNUMBER('Upis rezultata A sektora'!B4)=FALSE,"",'Upis rezultata A sektora'!B4)</f>
        <v>3</v>
      </c>
      <c r="B10" s="57">
        <f>IF(ISNUMBER('Upis rezultata A sektora'!F4)=FALSE,"",'Upis rezultata A sektora'!F4)</f>
        <v>2978</v>
      </c>
      <c r="C10" s="60">
        <f>IF(ISNUMBER('Upis rezultata A sektora'!C4)=FALSE,"",'Upis rezultata A sektora'!C4)</f>
        <v>3</v>
      </c>
      <c r="D10" s="16" t="str">
        <f>IF(ISNONTEXT('Upis rezultata A sektora'!E4)=TRUE,"",'Upis rezultata A sektora'!E4)</f>
        <v>Mladen Kečkeš</v>
      </c>
      <c r="E10" s="16" t="str">
        <f>IF(ISNONTEXT('Upis rezultata A sektora'!D4)=TRUE,"",'Upis rezultata A sektora'!D4)</f>
        <v>Rak Rakitje</v>
      </c>
    </row>
    <row r="11" spans="1:5" ht="12.75" hidden="1">
      <c r="A11" s="56">
        <f>IF(ISNUMBER('Upis rezultata A sektora'!B12)=FALSE,"",'Upis rezultata A sektora'!B12)</f>
        <v>4</v>
      </c>
      <c r="B11" s="57">
        <f>IF(ISNUMBER('Upis rezultata A sektora'!F12)=FALSE,"",'Upis rezultata A sektora'!F12)</f>
        <v>2800</v>
      </c>
      <c r="C11" s="60">
        <f>IF(ISNUMBER('Upis rezultata A sektora'!C12)=FALSE,"",'Upis rezultata A sektora'!C12)</f>
        <v>11</v>
      </c>
      <c r="D11" s="16" t="str">
        <f>IF(ISNONTEXT('Upis rezultata A sektora'!E12)=TRUE,"",'Upis rezultata A sektora'!E12)</f>
        <v>Zlatko Šapina</v>
      </c>
      <c r="E11" s="16" t="str">
        <f>IF(ISNONTEXT('Upis rezultata A sektora'!D12)=TRUE,"",'Upis rezultata A sektora'!D12)</f>
        <v>Ilova Garešnica</v>
      </c>
    </row>
    <row r="12" spans="1:5" ht="12.75" hidden="1">
      <c r="A12" s="56">
        <f>IF(ISNUMBER('Upis rezultata A sektora'!B7)=FALSE,"",'Upis rezultata A sektora'!B7)</f>
        <v>5</v>
      </c>
      <c r="B12" s="57">
        <f>IF(ISNUMBER('Upis rezultata A sektora'!F7)=FALSE,"",'Upis rezultata A sektora'!F7)</f>
        <v>2105</v>
      </c>
      <c r="C12" s="60">
        <f>IF(ISNUMBER('Upis rezultata A sektora'!C7)=FALSE,"",'Upis rezultata A sektora'!C7)</f>
        <v>6</v>
      </c>
      <c r="D12" s="16" t="str">
        <f>IF(ISNONTEXT('Upis rezultata A sektora'!E7)=TRUE,"",'Upis rezultata A sektora'!E7)</f>
        <v>Dražen Bajzek</v>
      </c>
      <c r="E12" s="16" t="str">
        <f>IF(ISNONTEXT('Upis rezultata A sektora'!D7)=TRUE,"",'Upis rezultata A sektora'!D7)</f>
        <v>Azzuro Varaždin</v>
      </c>
    </row>
    <row r="13" spans="1:5" ht="12.75" hidden="1">
      <c r="A13" s="56">
        <f>IF(ISNUMBER('Upis rezultata A sektora'!B11)=FALSE,"",'Upis rezultata A sektora'!B11)</f>
        <v>6</v>
      </c>
      <c r="B13" s="57">
        <f>IF(ISNUMBER('Upis rezultata A sektora'!F11)=FALSE,"",'Upis rezultata A sektora'!F11)</f>
        <v>1765</v>
      </c>
      <c r="C13" s="60">
        <f>IF(ISNUMBER('Upis rezultata A sektora'!C11)=FALSE,"",'Upis rezultata A sektora'!C11)</f>
        <v>10</v>
      </c>
      <c r="D13" s="16" t="str">
        <f>IF(ISNONTEXT('Upis rezultata A sektora'!E11)=TRUE,"",'Upis rezultata A sektora'!E11)</f>
        <v>Dalibor Agbaba</v>
      </c>
      <c r="E13" s="16" t="str">
        <f>IF(ISNONTEXT('Upis rezultata A sektora'!D11)=TRUE,"",'Upis rezultata A sektora'!D11)</f>
        <v>TPK Zagreb</v>
      </c>
    </row>
    <row r="14" spans="1:5" ht="12.75" hidden="1">
      <c r="A14" s="56">
        <f>IF(ISNUMBER('Upis rezultata A sektora'!B13)=FALSE,"",'Upis rezultata A sektora'!B13)</f>
        <v>7</v>
      </c>
      <c r="B14" s="57">
        <f>IF(ISNUMBER('Upis rezultata A sektora'!F13)=FALSE,"",'Upis rezultata A sektora'!F13)</f>
        <v>1680</v>
      </c>
      <c r="C14" s="60">
        <f>IF(ISNUMBER('Upis rezultata A sektora'!C13)=FALSE,"",'Upis rezultata A sektora'!C13)</f>
        <v>12</v>
      </c>
      <c r="D14" s="16" t="str">
        <f>IF(ISNONTEXT('Upis rezultata A sektora'!E13)=TRUE,"",'Upis rezultata A sektora'!E13)</f>
        <v>Mladen Meseš</v>
      </c>
      <c r="E14" s="16" t="str">
        <f>IF(ISNONTEXT('Upis rezultata A sektora'!D13)=TRUE,"",'Upis rezultata A sektora'!D13)</f>
        <v>Jez Jasenovac</v>
      </c>
    </row>
    <row r="15" spans="1:5" ht="12.75" hidden="1">
      <c r="A15" s="56">
        <f>IF(ISNUMBER('Upis rezultata A sektora'!B10)=FALSE,"",'Upis rezultata A sektora'!B10)</f>
        <v>8</v>
      </c>
      <c r="B15" s="57">
        <f>IF(ISNUMBER('Upis rezultata A sektora'!F10)=FALSE,"",'Upis rezultata A sektora'!F10)</f>
        <v>1470</v>
      </c>
      <c r="C15" s="60">
        <f>IF(ISNUMBER('Upis rezultata A sektora'!C10)=FALSE,"",'Upis rezultata A sektora'!C10)</f>
        <v>9</v>
      </c>
      <c r="D15" s="16" t="str">
        <f>IF(ISNONTEXT('Upis rezultata A sektora'!E10)=TRUE,"",'Upis rezultata A sektora'!E10)</f>
        <v>Domagoj Ceković</v>
      </c>
      <c r="E15" s="16" t="str">
        <f>IF(ISNONTEXT('Upis rezultata A sektora'!D10)=TRUE,"",'Upis rezultata A sektora'!D10)</f>
        <v>Bjelka GME Sunja</v>
      </c>
    </row>
    <row r="16" spans="1:5" ht="12.75" hidden="1">
      <c r="A16" s="56">
        <f>IF(ISNUMBER('Upis rezultata A sektora'!B9)=FALSE,"",'Upis rezultata A sektora'!B9)</f>
        <v>9</v>
      </c>
      <c r="B16" s="57">
        <f>IF(ISNUMBER('Upis rezultata A sektora'!F9)=FALSE,"",'Upis rezultata A sektora'!F9)</f>
        <v>1125</v>
      </c>
      <c r="C16" s="60">
        <f>IF(ISNUMBER('Upis rezultata A sektora'!C9)=FALSE,"",'Upis rezultata A sektora'!C9)</f>
        <v>8</v>
      </c>
      <c r="D16" s="16" t="str">
        <f>IF(ISNONTEXT('Upis rezultata A sektora'!E9)=TRUE,"",'Upis rezultata A sektora'!E9)</f>
        <v>Damir Dević</v>
      </c>
      <c r="E16" s="16" t="str">
        <f>IF(ISNONTEXT('Upis rezultata A sektora'!D9)=TRUE,"",'Upis rezultata A sektora'!D9)</f>
        <v>Klen N.Gradiška</v>
      </c>
    </row>
    <row r="17" spans="1:5" ht="12.75" hidden="1">
      <c r="A17" s="56">
        <f>IF(ISNUMBER('Upis rezultata A sektora'!B8)=FALSE,"",'Upis rezultata A sektora'!B8)</f>
        <v>10.5</v>
      </c>
      <c r="B17" s="57">
        <f>IF(ISNUMBER('Upis rezultata A sektora'!F8)=FALSE,"",'Upis rezultata A sektora'!F8)</f>
        <v>905</v>
      </c>
      <c r="C17" s="60">
        <f>IF(ISNUMBER('Upis rezultata A sektora'!C8)=FALSE,"",'Upis rezultata A sektora'!C8)</f>
        <v>7</v>
      </c>
      <c r="D17" s="16" t="str">
        <f>IF(ISNONTEXT('Upis rezultata A sektora'!E8)=TRUE,"",'Upis rezultata A sektora'!E8)</f>
        <v>Zdravko Gotovac</v>
      </c>
      <c r="E17" s="16" t="str">
        <f>IF(ISNONTEXT('Upis rezultata A sektora'!D8)=TRUE,"",'Upis rezultata A sektora'!D8)</f>
        <v>Trnje-ŠR Zagreb</v>
      </c>
    </row>
    <row r="18" spans="1:5" ht="12.75" hidden="1">
      <c r="A18" s="56">
        <f>IF(ISNUMBER('Upis rezultata A sektora'!B5)=FALSE,"",'Upis rezultata A sektora'!B5)</f>
        <v>10.5</v>
      </c>
      <c r="B18" s="57">
        <f>IF(ISNUMBER('Upis rezultata A sektora'!F5)=FALSE,"",'Upis rezultata A sektora'!F5)</f>
        <v>905</v>
      </c>
      <c r="C18" s="60">
        <f>IF(ISNUMBER('Upis rezultata A sektora'!C5)=FALSE,"",'Upis rezultata A sektora'!C5)</f>
        <v>4</v>
      </c>
      <c r="D18" s="16" t="str">
        <f>IF(ISNONTEXT('Upis rezultata A sektora'!E5)=TRUE,"",'Upis rezultata A sektora'!E5)</f>
        <v>Emil Lukman</v>
      </c>
      <c r="E18" s="16" t="str">
        <f>IF(ISNONTEXT('Upis rezultata A sektora'!D5)=TRUE,"",'Upis rezultata A sektora'!D5)</f>
        <v>Bjelovar Bjelovar</v>
      </c>
    </row>
    <row r="19" spans="1:5" ht="12.75" hidden="1">
      <c r="A19" s="56">
        <f>IF(ISNUMBER('Upis rezultata A sektora'!B6)=FALSE,"",'Upis rezultata A sektora'!B6)</f>
        <v>12</v>
      </c>
      <c r="B19" s="57">
        <f>IF(ISNUMBER('Upis rezultata A sektora'!F6)=FALSE,"",'Upis rezultata A sektora'!F6)</f>
        <v>475</v>
      </c>
      <c r="C19" s="60">
        <f>IF(ISNUMBER('Upis rezultata A sektora'!C6)=FALSE,"",'Upis rezultata A sektora'!C6)</f>
        <v>5</v>
      </c>
      <c r="D19" s="16" t="str">
        <f>IF(ISNONTEXT('Upis rezultata A sektora'!E6)=TRUE,"",'Upis rezultata A sektora'!E6)</f>
        <v>Ivica Bonino Hasan</v>
      </c>
      <c r="E19" s="16" t="str">
        <f>IF(ISNONTEXT('Upis rezultata A sektora'!D6)=TRUE,"",'Upis rezultata A sektora'!D6)</f>
        <v>Varaždin Varaždin</v>
      </c>
    </row>
    <row r="20" ht="12.75" hidden="1"/>
    <row r="21" ht="12.75" hidden="1"/>
    <row r="22" ht="12.75" hidden="1">
      <c r="B22" s="33" t="str">
        <f>IF(ISNONTEXT('Upis rezultata B sektora'!E2)=TRUE,"","SEKTOR B")</f>
        <v>SEKTOR B</v>
      </c>
    </row>
    <row r="23" ht="12.75" hidden="1">
      <c r="C23" s="57"/>
    </row>
    <row r="24" spans="1:5" ht="25.5" hidden="1">
      <c r="A24" s="59" t="str">
        <f>IF(ISNONTEXT('Upis rezultata B sektora'!E2)=TRUE,"","Sektorski plasman")</f>
        <v>Sektorski plasman</v>
      </c>
      <c r="B24" s="14" t="str">
        <f>IF(ISNONTEXT('Upis rezultata B sektora'!E2)=TRUE,"","Bodova")</f>
        <v>Bodova</v>
      </c>
      <c r="C24" s="59" t="str">
        <f>IF(ISNONTEXT('Upis rezultata B sektora'!E2)=TRUE,"","Startni broj")</f>
        <v>Startni broj</v>
      </c>
      <c r="D24" s="14" t="str">
        <f>IF(ISNONTEXT('Upis rezultata B sektora'!E2)=TRUE,"","Ime i prezime")</f>
        <v>Ime i prezime</v>
      </c>
      <c r="E24" s="14" t="str">
        <f>IF(ISNONTEXT('Upis rezultata B sektora'!E2)=TRUE,"","Ekipa")</f>
        <v>Ekipa</v>
      </c>
    </row>
    <row r="25" spans="1:5" ht="12.75" hidden="1">
      <c r="A25" s="56">
        <f>IF(ISNUMBER('Upis rezultata B sektora'!B2)=FALSE,"",'Upis rezultata B sektora'!B2)</f>
        <v>1</v>
      </c>
      <c r="B25" s="57">
        <f>IF(ISNUMBER('Upis rezultata B sektora'!F2)=FALSE,"",'Upis rezultata B sektora'!F2)</f>
        <v>5000</v>
      </c>
      <c r="C25" s="60">
        <f>IF(ISNUMBER('Upis rezultata B sektora'!C2)=FALSE,"",'Upis rezultata B sektora'!C2)</f>
        <v>1</v>
      </c>
      <c r="D25" s="16" t="str">
        <f>IF(ISNONTEXT('Upis rezultata B sektora'!E2)=TRUE,"",'Upis rezultata B sektora'!E2)</f>
        <v>Nenad Viboh</v>
      </c>
      <c r="E25" s="16" t="str">
        <f>IF(ISNONTEXT('Upis rezultata B sektora'!D2)=TRUE,"",'Upis rezultata B sektora'!D2)</f>
        <v>Korana Karlovac</v>
      </c>
    </row>
    <row r="26" spans="1:5" ht="12.75" hidden="1">
      <c r="A26" s="56">
        <f>IF(ISNUMBER('Upis rezultata B sektora'!B13)=FALSE,"",'Upis rezultata B sektora'!B13)</f>
        <v>2</v>
      </c>
      <c r="B26" s="57">
        <f>IF(ISNUMBER('Upis rezultata B sektora'!F13)=FALSE,"",'Upis rezultata B sektora'!F13)</f>
        <v>3700</v>
      </c>
      <c r="C26" s="60">
        <f>IF(ISNUMBER('Upis rezultata B sektora'!C13)=FALSE,"",'Upis rezultata B sektora'!C13)</f>
        <v>12</v>
      </c>
      <c r="D26" s="16" t="str">
        <f>IF(ISNONTEXT('Upis rezultata B sektora'!E13)=TRUE,"",'Upis rezultata B sektora'!E13)</f>
        <v>Marijan Kumić</v>
      </c>
      <c r="E26" s="16" t="str">
        <f>IF(ISNONTEXT('Upis rezultata B sektora'!D13)=TRUE,"",'Upis rezultata B sektora'!D13)</f>
        <v>Jez Jasenovac</v>
      </c>
    </row>
    <row r="27" spans="1:5" ht="12.75" hidden="1">
      <c r="A27" s="56">
        <f>IF(ISNUMBER('Upis rezultata B sektora'!B3)=FALSE,"",'Upis rezultata B sektora'!B3)</f>
        <v>3</v>
      </c>
      <c r="B27" s="57">
        <f>IF(ISNUMBER('Upis rezultata B sektora'!F3)=FALSE,"",'Upis rezultata B sektora'!F3)</f>
        <v>2536</v>
      </c>
      <c r="C27" s="60">
        <f>IF(ISNUMBER('Upis rezultata B sektora'!C3)=FALSE,"",'Upis rezultata B sektora'!C3)</f>
        <v>2</v>
      </c>
      <c r="D27" s="16" t="str">
        <f>IF(ISNONTEXT('Upis rezultata B sektora'!E3)=TRUE,"",'Upis rezultata B sektora'!E3)</f>
        <v>Goran Matijašić</v>
      </c>
      <c r="E27" s="16" t="str">
        <f>IF(ISNONTEXT('Upis rezultata B sektora'!D3)=TRUE,"",'Upis rezultata B sektora'!D3)</f>
        <v>Štuka Torčec</v>
      </c>
    </row>
    <row r="28" spans="1:5" ht="12.75" hidden="1">
      <c r="A28" s="56">
        <f>IF(ISNUMBER('Upis rezultata B sektora'!B4)=FALSE,"",'Upis rezultata B sektora'!B4)</f>
        <v>4</v>
      </c>
      <c r="B28" s="57">
        <f>IF(ISNUMBER('Upis rezultata B sektora'!F4)=FALSE,"",'Upis rezultata B sektora'!F4)</f>
        <v>2452</v>
      </c>
      <c r="C28" s="60">
        <f>IF(ISNUMBER('Upis rezultata B sektora'!C4)=FALSE,"",'Upis rezultata B sektora'!C4)</f>
        <v>3</v>
      </c>
      <c r="D28" s="16" t="str">
        <f>IF(ISNONTEXT('Upis rezultata B sektora'!E4)=TRUE,"",'Upis rezultata B sektora'!E4)</f>
        <v>Martin Vrčković</v>
      </c>
      <c r="E28" s="16" t="str">
        <f>IF(ISNONTEXT('Upis rezultata B sektora'!D4)=TRUE,"",'Upis rezultata B sektora'!D4)</f>
        <v>Rak Rakitje</v>
      </c>
    </row>
    <row r="29" spans="1:5" ht="12.75" hidden="1">
      <c r="A29" s="56">
        <f>IF(ISNUMBER('Upis rezultata B sektora'!B5)=FALSE,"",'Upis rezultata B sektora'!B5)</f>
        <v>5</v>
      </c>
      <c r="B29" s="57">
        <f>IF(ISNUMBER('Upis rezultata B sektora'!F5)=FALSE,"",'Upis rezultata B sektora'!F5)</f>
        <v>2320</v>
      </c>
      <c r="C29" s="60">
        <f>IF(ISNUMBER('Upis rezultata B sektora'!C5)=FALSE,"",'Upis rezultata B sektora'!C5)</f>
        <v>4</v>
      </c>
      <c r="D29" s="16" t="str">
        <f>IF(ISNONTEXT('Upis rezultata B sektora'!E5)=TRUE,"",'Upis rezultata B sektora'!E5)</f>
        <v>Vladimir Šuker</v>
      </c>
      <c r="E29" s="16" t="str">
        <f>IF(ISNONTEXT('Upis rezultata B sektora'!D5)=TRUE,"",'Upis rezultata B sektora'!D5)</f>
        <v>Bjelovar Bjelovar</v>
      </c>
    </row>
    <row r="30" spans="1:5" ht="12.75" hidden="1">
      <c r="A30" s="56">
        <f>IF(ISNUMBER('Upis rezultata B sektora'!B9)=FALSE,"",'Upis rezultata B sektora'!B9)</f>
        <v>6</v>
      </c>
      <c r="B30" s="57">
        <f>IF(ISNUMBER('Upis rezultata B sektora'!F9)=FALSE,"",'Upis rezultata B sektora'!F9)</f>
        <v>1953</v>
      </c>
      <c r="C30" s="60">
        <f>IF(ISNUMBER('Upis rezultata B sektora'!C9)=FALSE,"",'Upis rezultata B sektora'!C9)</f>
        <v>8</v>
      </c>
      <c r="D30" s="16" t="str">
        <f>IF(ISNONTEXT('Upis rezultata B sektora'!E9)=TRUE,"",'Upis rezultata B sektora'!E9)</f>
        <v>Mario Akmačić</v>
      </c>
      <c r="E30" s="16" t="str">
        <f>IF(ISNONTEXT('Upis rezultata B sektora'!D9)=TRUE,"",'Upis rezultata B sektora'!D9)</f>
        <v>Klen N.Gradiška</v>
      </c>
    </row>
    <row r="31" spans="1:5" ht="12.75" hidden="1">
      <c r="A31" s="56">
        <f>IF(ISNUMBER('Upis rezultata B sektora'!B8)=FALSE,"",'Upis rezultata B sektora'!B8)</f>
        <v>7</v>
      </c>
      <c r="B31" s="57">
        <f>IF(ISNUMBER('Upis rezultata B sektora'!F8)=FALSE,"",'Upis rezultata B sektora'!F8)</f>
        <v>1895</v>
      </c>
      <c r="C31" s="60">
        <f>IF(ISNUMBER('Upis rezultata B sektora'!C8)=FALSE,"",'Upis rezultata B sektora'!C8)</f>
        <v>7</v>
      </c>
      <c r="D31" s="16" t="str">
        <f>IF(ISNONTEXT('Upis rezultata B sektora'!E8)=TRUE,"",'Upis rezultata B sektora'!E8)</f>
        <v>Željko Raženj</v>
      </c>
      <c r="E31" s="16" t="str">
        <f>IF(ISNONTEXT('Upis rezultata B sektora'!D8)=TRUE,"",'Upis rezultata B sektora'!D8)</f>
        <v>Trnje-ŠR Zagreb</v>
      </c>
    </row>
    <row r="32" spans="1:5" ht="12.75" hidden="1">
      <c r="A32" s="56">
        <f>IF(ISNUMBER('Upis rezultata B sektora'!B12)=FALSE,"",'Upis rezultata B sektora'!B12)</f>
        <v>8.5</v>
      </c>
      <c r="B32" s="57">
        <f>IF(ISNUMBER('Upis rezultata B sektora'!F12)=FALSE,"",'Upis rezultata B sektora'!F12)</f>
        <v>1765</v>
      </c>
      <c r="C32" s="60">
        <f>IF(ISNUMBER('Upis rezultata B sektora'!C12)=FALSE,"",'Upis rezultata B sektora'!C12)</f>
        <v>11</v>
      </c>
      <c r="D32" s="16" t="str">
        <f>IF(ISNONTEXT('Upis rezultata B sektora'!E12)=TRUE,"",'Upis rezultata B sektora'!E12)</f>
        <v>Tomislav Duković</v>
      </c>
      <c r="E32" s="16" t="str">
        <f>IF(ISNONTEXT('Upis rezultata B sektora'!D12)=TRUE,"",'Upis rezultata B sektora'!D12)</f>
        <v>Ilova Garešnica</v>
      </c>
    </row>
    <row r="33" spans="1:5" ht="12.75" hidden="1">
      <c r="A33" s="56">
        <f>IF(ISNUMBER('Upis rezultata B sektora'!B11)=FALSE,"",'Upis rezultata B sektora'!B11)</f>
        <v>8.5</v>
      </c>
      <c r="B33" s="57">
        <f>IF(ISNUMBER('Upis rezultata B sektora'!F11)=FALSE,"",'Upis rezultata B sektora'!F11)</f>
        <v>1765</v>
      </c>
      <c r="C33" s="60">
        <f>IF(ISNUMBER('Upis rezultata B sektora'!C11)=FALSE,"",'Upis rezultata B sektora'!C11)</f>
        <v>10</v>
      </c>
      <c r="D33" s="16" t="str">
        <f>IF(ISNONTEXT('Upis rezultata B sektora'!E11)=TRUE,"",'Upis rezultata B sektora'!E11)</f>
        <v>Anđelo Orač</v>
      </c>
      <c r="E33" s="16" t="str">
        <f>IF(ISNONTEXT('Upis rezultata B sektora'!D11)=TRUE,"",'Upis rezultata B sektora'!D11)</f>
        <v>TPK Zagreb</v>
      </c>
    </row>
    <row r="34" spans="1:5" ht="12.75" hidden="1">
      <c r="A34" s="56">
        <f>IF(ISNUMBER('Upis rezultata B sektora'!B10)=FALSE,"",'Upis rezultata B sektora'!B10)</f>
        <v>10.5</v>
      </c>
      <c r="B34" s="57">
        <f>IF(ISNUMBER('Upis rezultata B sektora'!F10)=FALSE,"",'Upis rezultata B sektora'!F10)</f>
        <v>1119</v>
      </c>
      <c r="C34" s="60">
        <f>IF(ISNUMBER('Upis rezultata B sektora'!C10)=FALSE,"",'Upis rezultata B sektora'!C10)</f>
        <v>9</v>
      </c>
      <c r="D34" s="16" t="str">
        <f>IF(ISNONTEXT('Upis rezultata B sektora'!E10)=TRUE,"",'Upis rezultata B sektora'!E10)</f>
        <v>Smail Habibović</v>
      </c>
      <c r="E34" s="16" t="str">
        <f>IF(ISNONTEXT('Upis rezultata B sektora'!D10)=TRUE,"",'Upis rezultata B sektora'!D10)</f>
        <v>Bjelka GME Sunja</v>
      </c>
    </row>
    <row r="35" spans="1:5" ht="12.75" hidden="1">
      <c r="A35" s="56">
        <f>IF(ISNUMBER('Upis rezultata B sektora'!B7)=FALSE,"",'Upis rezultata B sektora'!B7)</f>
        <v>10.5</v>
      </c>
      <c r="B35" s="57">
        <f>IF(ISNUMBER('Upis rezultata B sektora'!F7)=FALSE,"",'Upis rezultata B sektora'!F7)</f>
        <v>1119</v>
      </c>
      <c r="C35" s="60">
        <f>IF(ISNUMBER('Upis rezultata B sektora'!C7)=FALSE,"",'Upis rezultata B sektora'!C7)</f>
        <v>6</v>
      </c>
      <c r="D35" s="16" t="str">
        <f>IF(ISNONTEXT('Upis rezultata B sektora'!E7)=TRUE,"",'Upis rezultata B sektora'!E7)</f>
        <v>Zlatko Kračun</v>
      </c>
      <c r="E35" s="16" t="str">
        <f>IF(ISNONTEXT('Upis rezultata B sektora'!D7)=TRUE,"",'Upis rezultata B sektora'!D7)</f>
        <v>Azzuro Varaždin</v>
      </c>
    </row>
    <row r="36" spans="1:5" ht="12.75" hidden="1">
      <c r="A36" s="56">
        <f>IF(ISNUMBER('Upis rezultata B sektora'!B6)=FALSE,"",'Upis rezultata B sektora'!B6)</f>
        <v>12</v>
      </c>
      <c r="B36" s="57">
        <f>IF(ISNUMBER('Upis rezultata B sektora'!F6)=FALSE,"",'Upis rezultata B sektora'!F6)</f>
        <v>1004</v>
      </c>
      <c r="C36" s="60">
        <f>IF(ISNUMBER('Upis rezultata B sektora'!C6)=FALSE,"",'Upis rezultata B sektora'!C6)</f>
        <v>5</v>
      </c>
      <c r="D36" s="16" t="str">
        <f>IF(ISNONTEXT('Upis rezultata B sektora'!E6)=TRUE,"",'Upis rezultata B sektora'!E6)</f>
        <v>Tihomir Hunjak</v>
      </c>
      <c r="E36" s="16" t="str">
        <f>IF(ISNONTEXT('Upis rezultata B sektora'!D6)=TRUE,"",'Upis rezultata B sektora'!D6)</f>
        <v>Varaždin Varaždin</v>
      </c>
    </row>
    <row r="37" ht="12.75" hidden="1"/>
    <row r="38" ht="12.75" hidden="1"/>
    <row r="39" ht="12.75" hidden="1">
      <c r="B39" s="33" t="str">
        <f>IF(ISNONTEXT('Upis rezultata C sektora'!E2)=TRUE,"","SEKTOR C")</f>
        <v>SEKTOR C</v>
      </c>
    </row>
    <row r="40" ht="12.75" hidden="1">
      <c r="C40" s="57"/>
    </row>
    <row r="41" spans="1:5" ht="25.5" hidden="1">
      <c r="A41" s="59" t="str">
        <f>IF(ISNONTEXT('Upis rezultata C sektora'!E2)=TRUE,"","Sektorski plasman")</f>
        <v>Sektorski plasman</v>
      </c>
      <c r="B41" s="14" t="str">
        <f>IF(ISNONTEXT('Upis rezultata C sektora'!E2)=TRUE,"","Bodova")</f>
        <v>Bodova</v>
      </c>
      <c r="C41" s="59" t="str">
        <f>IF(ISNONTEXT('Upis rezultata C sektora'!E2)=TRUE,"","Startni broj")</f>
        <v>Startni broj</v>
      </c>
      <c r="D41" s="14" t="str">
        <f>IF(ISNONTEXT('Upis rezultata C sektora'!E2)=TRUE,"","Ime i prezime")</f>
        <v>Ime i prezime</v>
      </c>
      <c r="E41" s="14" t="str">
        <f>IF(ISNONTEXT('Upis rezultata C sektora'!E2)=TRUE,"","Ekipa")</f>
        <v>Ekipa</v>
      </c>
    </row>
    <row r="42" spans="1:5" ht="12.75" hidden="1">
      <c r="A42" s="56">
        <f>IF(ISNUMBER('Upis rezultata C sektora'!B2)=FALSE,"",'Upis rezultata C sektora'!B2)</f>
        <v>1</v>
      </c>
      <c r="B42" s="57">
        <f>IF(ISNUMBER('Upis rezultata C sektora'!F2)=FALSE,"",'Upis rezultata C sektora'!F2)</f>
        <v>5000</v>
      </c>
      <c r="C42" s="60">
        <f>IF(ISNUMBER('Upis rezultata C sektora'!C2)=FALSE,"",'Upis rezultata C sektora'!C2)</f>
        <v>1</v>
      </c>
      <c r="D42" s="16" t="str">
        <f>IF(ISNONTEXT('Upis rezultata C sektora'!E2)=TRUE,"",'Upis rezultata C sektora'!E2)</f>
        <v>Hrvoje Kovač</v>
      </c>
      <c r="E42" s="16" t="str">
        <f>IF(ISNONTEXT('Upis rezultata C sektora'!D2)=TRUE,"",'Upis rezultata C sektora'!D2)</f>
        <v>Korana Karlovac</v>
      </c>
    </row>
    <row r="43" spans="1:5" ht="12.75" hidden="1">
      <c r="A43" s="56">
        <f>IF(ISNUMBER('Upis rezultata C sektora'!B4)=FALSE,"",'Upis rezultata C sektora'!B4)</f>
        <v>2</v>
      </c>
      <c r="B43" s="57">
        <f>IF(ISNUMBER('Upis rezultata C sektora'!F4)=FALSE,"",'Upis rezultata C sektora'!F4)</f>
        <v>4740</v>
      </c>
      <c r="C43" s="60">
        <f>IF(ISNUMBER('Upis rezultata C sektora'!C4)=FALSE,"",'Upis rezultata C sektora'!C4)</f>
        <v>3</v>
      </c>
      <c r="D43" s="16" t="str">
        <f>IF(ISNONTEXT('Upis rezultata C sektora'!E4)=TRUE,"",'Upis rezultata C sektora'!E4)</f>
        <v>Stjepan Gorički</v>
      </c>
      <c r="E43" s="16" t="str">
        <f>IF(ISNONTEXT('Upis rezultata C sektora'!D4)=TRUE,"",'Upis rezultata C sektora'!D4)</f>
        <v>Rak Rakitje</v>
      </c>
    </row>
    <row r="44" spans="1:5" ht="12.75" hidden="1">
      <c r="A44" s="56">
        <f>IF(ISNUMBER('Upis rezultata C sektora'!B13)=FALSE,"",'Upis rezultata C sektora'!B13)</f>
        <v>3</v>
      </c>
      <c r="B44" s="57">
        <f>IF(ISNUMBER('Upis rezultata C sektora'!F13)=FALSE,"",'Upis rezultata C sektora'!F13)</f>
        <v>4500</v>
      </c>
      <c r="C44" s="60">
        <f>IF(ISNUMBER('Upis rezultata C sektora'!C13)=FALSE,"",'Upis rezultata C sektora'!C13)</f>
        <v>12</v>
      </c>
      <c r="D44" s="16" t="str">
        <f>IF(ISNONTEXT('Upis rezultata C sektora'!E13)=TRUE,"",'Upis rezultata C sektora'!E13)</f>
        <v>Siniša Finek</v>
      </c>
      <c r="E44" s="16" t="str">
        <f>IF(ISNONTEXT('Upis rezultata C sektora'!D13)=TRUE,"",'Upis rezultata C sektora'!D13)</f>
        <v>Jez Jasenovac</v>
      </c>
    </row>
    <row r="45" spans="1:5" ht="12.75" hidden="1">
      <c r="A45" s="56">
        <f>IF(ISNUMBER('Upis rezultata C sektora'!B7)=FALSE,"",'Upis rezultata C sektora'!B7)</f>
        <v>4</v>
      </c>
      <c r="B45" s="57">
        <f>IF(ISNUMBER('Upis rezultata C sektora'!F7)=FALSE,"",'Upis rezultata C sektora'!F7)</f>
        <v>2005</v>
      </c>
      <c r="C45" s="60">
        <f>IF(ISNUMBER('Upis rezultata C sektora'!C7)=FALSE,"",'Upis rezultata C sektora'!C7)</f>
        <v>6</v>
      </c>
      <c r="D45" s="16" t="str">
        <f>IF(ISNONTEXT('Upis rezultata C sektora'!E7)=TRUE,"",'Upis rezultata C sektora'!E7)</f>
        <v>Ljubo Matulin</v>
      </c>
      <c r="E45" s="16" t="str">
        <f>IF(ISNONTEXT('Upis rezultata C sektora'!D7)=TRUE,"",'Upis rezultata C sektora'!D7)</f>
        <v>Azzuro Varaždin</v>
      </c>
    </row>
    <row r="46" spans="1:5" ht="12.75" hidden="1">
      <c r="A46" s="56">
        <f>IF(ISNUMBER('Upis rezultata C sektora'!B8)=FALSE,"",'Upis rezultata C sektora'!B8)</f>
        <v>5</v>
      </c>
      <c r="B46" s="57">
        <f>IF(ISNUMBER('Upis rezultata C sektora'!F8)=FALSE,"",'Upis rezultata C sektora'!F8)</f>
        <v>1790</v>
      </c>
      <c r="C46" s="60">
        <f>IF(ISNUMBER('Upis rezultata C sektora'!C8)=FALSE,"",'Upis rezultata C sektora'!C8)</f>
        <v>7</v>
      </c>
      <c r="D46" s="16" t="str">
        <f>IF(ISNONTEXT('Upis rezultata C sektora'!E8)=TRUE,"",'Upis rezultata C sektora'!E8)</f>
        <v>Ivan Fehir</v>
      </c>
      <c r="E46" s="16" t="str">
        <f>IF(ISNONTEXT('Upis rezultata C sektora'!D8)=TRUE,"",'Upis rezultata C sektora'!D8)</f>
        <v>Trnje-ŠR Zagreb</v>
      </c>
    </row>
    <row r="47" spans="1:5" ht="12.75" hidden="1">
      <c r="A47" s="56">
        <f>IF(ISNUMBER('Upis rezultata C sektora'!B12)=FALSE,"",'Upis rezultata C sektora'!B12)</f>
        <v>6.5</v>
      </c>
      <c r="B47" s="57">
        <f>IF(ISNUMBER('Upis rezultata C sektora'!F12)=FALSE,"",'Upis rezultata C sektora'!F12)</f>
        <v>1765</v>
      </c>
      <c r="C47" s="60">
        <f>IF(ISNUMBER('Upis rezultata C sektora'!C12)=FALSE,"",'Upis rezultata C sektora'!C12)</f>
        <v>11</v>
      </c>
      <c r="D47" s="16" t="str">
        <f>IF(ISNONTEXT('Upis rezultata C sektora'!E12)=TRUE,"",'Upis rezultata C sektora'!E12)</f>
        <v>Dražen Červeni</v>
      </c>
      <c r="E47" s="16" t="str">
        <f>IF(ISNONTEXT('Upis rezultata C sektora'!D12)=TRUE,"",'Upis rezultata C sektora'!D12)</f>
        <v>Ilova Garešnica</v>
      </c>
    </row>
    <row r="48" spans="1:5" ht="12.75" hidden="1">
      <c r="A48" s="56">
        <f>IF(ISNUMBER('Upis rezultata C sektora'!B11)=FALSE,"",'Upis rezultata C sektora'!B11)</f>
        <v>6.5</v>
      </c>
      <c r="B48" s="57">
        <f>IF(ISNUMBER('Upis rezultata C sektora'!F11)=FALSE,"",'Upis rezultata C sektora'!F11)</f>
        <v>1765</v>
      </c>
      <c r="C48" s="60">
        <f>IF(ISNUMBER('Upis rezultata C sektora'!C11)=FALSE,"",'Upis rezultata C sektora'!C11)</f>
        <v>10</v>
      </c>
      <c r="D48" s="16" t="str">
        <f>IF(ISNONTEXT('Upis rezultata C sektora'!E11)=TRUE,"",'Upis rezultata C sektora'!E11)</f>
        <v>Zlatko Poparić</v>
      </c>
      <c r="E48" s="16" t="str">
        <f>IF(ISNONTEXT('Upis rezultata C sektora'!D11)=TRUE,"",'Upis rezultata C sektora'!D11)</f>
        <v>TPK Zagreb</v>
      </c>
    </row>
    <row r="49" spans="1:5" ht="12.75" hidden="1">
      <c r="A49" s="56">
        <f>IF(ISNUMBER('Upis rezultata C sektora'!B3)=FALSE,"",'Upis rezultata C sektora'!B3)</f>
        <v>8</v>
      </c>
      <c r="B49" s="57">
        <f>IF(ISNUMBER('Upis rezultata C sektora'!F3)=FALSE,"",'Upis rezultata C sektora'!F3)</f>
        <v>1354</v>
      </c>
      <c r="C49" s="60">
        <f>IF(ISNUMBER('Upis rezultata C sektora'!C3)=FALSE,"",'Upis rezultata C sektora'!C3)</f>
        <v>2</v>
      </c>
      <c r="D49" s="16" t="str">
        <f>IF(ISNONTEXT('Upis rezultata C sektora'!E3)=TRUE,"",'Upis rezultata C sektora'!E3)</f>
        <v>Danijel Picer</v>
      </c>
      <c r="E49" s="16" t="str">
        <f>IF(ISNONTEXT('Upis rezultata C sektora'!D3)=TRUE,"",'Upis rezultata C sektora'!D3)</f>
        <v>Štuka Torčec</v>
      </c>
    </row>
    <row r="50" spans="1:5" ht="12.75" hidden="1">
      <c r="A50" s="56">
        <f>IF(ISNUMBER('Upis rezultata C sektora'!B9)=FALSE,"",'Upis rezultata C sektora'!B9)</f>
        <v>9</v>
      </c>
      <c r="B50" s="57">
        <f>IF(ISNUMBER('Upis rezultata C sektora'!F9)=FALSE,"",'Upis rezultata C sektora'!F9)</f>
        <v>1325</v>
      </c>
      <c r="C50" s="60">
        <f>IF(ISNUMBER('Upis rezultata C sektora'!C9)=FALSE,"",'Upis rezultata C sektora'!C9)</f>
        <v>8</v>
      </c>
      <c r="D50" s="16" t="str">
        <f>IF(ISNONTEXT('Upis rezultata C sektora'!E9)=TRUE,"",'Upis rezultata C sektora'!E9)</f>
        <v>Petar Petrović</v>
      </c>
      <c r="E50" s="16" t="str">
        <f>IF(ISNONTEXT('Upis rezultata C sektora'!D9)=TRUE,"",'Upis rezultata C sektora'!D9)</f>
        <v>Klen N.Gradiška</v>
      </c>
    </row>
    <row r="51" spans="1:5" ht="12.75" hidden="1">
      <c r="A51" s="56">
        <f>IF(ISNUMBER('Upis rezultata C sektora'!B6)=FALSE,"",'Upis rezultata C sektora'!B6)</f>
        <v>10</v>
      </c>
      <c r="B51" s="57">
        <f>IF(ISNUMBER('Upis rezultata C sektora'!F6)=FALSE,"",'Upis rezultata C sektora'!F6)</f>
        <v>930</v>
      </c>
      <c r="C51" s="60">
        <f>IF(ISNUMBER('Upis rezultata C sektora'!C6)=FALSE,"",'Upis rezultata C sektora'!C6)</f>
        <v>5</v>
      </c>
      <c r="D51" s="16" t="str">
        <f>IF(ISNONTEXT('Upis rezultata C sektora'!E6)=TRUE,"",'Upis rezultata C sektora'!E6)</f>
        <v>Marijan Lisjak</v>
      </c>
      <c r="E51" s="16" t="str">
        <f>IF(ISNONTEXT('Upis rezultata C sektora'!D6)=TRUE,"",'Upis rezultata C sektora'!D6)</f>
        <v>Varaždin Varaždin</v>
      </c>
    </row>
    <row r="52" spans="1:5" ht="12.75" hidden="1">
      <c r="A52" s="56">
        <f>IF(ISNUMBER('Upis rezultata C sektora'!B5)=FALSE,"",'Upis rezultata C sektora'!B5)</f>
        <v>11</v>
      </c>
      <c r="B52" s="57">
        <f>IF(ISNUMBER('Upis rezultata C sektora'!F5)=FALSE,"",'Upis rezultata C sektora'!F5)</f>
        <v>670</v>
      </c>
      <c r="C52" s="60">
        <f>IF(ISNUMBER('Upis rezultata C sektora'!C5)=FALSE,"",'Upis rezultata C sektora'!C5)</f>
        <v>4</v>
      </c>
      <c r="D52" s="16" t="str">
        <f>IF(ISNONTEXT('Upis rezultata C sektora'!E5)=TRUE,"",'Upis rezultata C sektora'!E5)</f>
        <v>Ivo Begović</v>
      </c>
      <c r="E52" s="16" t="str">
        <f>IF(ISNONTEXT('Upis rezultata C sektora'!D5)=TRUE,"",'Upis rezultata C sektora'!D5)</f>
        <v>Bjelovar Bjelovar</v>
      </c>
    </row>
    <row r="53" spans="1:5" ht="12.75" hidden="1">
      <c r="A53" s="56">
        <f>IF(ISNUMBER('Upis rezultata C sektora'!B10)=FALSE,"",'Upis rezultata C sektora'!B10)</f>
        <v>12</v>
      </c>
      <c r="B53" s="57">
        <f>IF(ISNUMBER('Upis rezultata C sektora'!F10)=FALSE,"",'Upis rezultata C sektora'!F10)</f>
        <v>608</v>
      </c>
      <c r="C53" s="60">
        <f>IF(ISNUMBER('Upis rezultata C sektora'!C10)=FALSE,"",'Upis rezultata C sektora'!C10)</f>
        <v>9</v>
      </c>
      <c r="D53" s="16" t="str">
        <f>IF(ISNONTEXT('Upis rezultata C sektora'!E10)=TRUE,"",'Upis rezultata C sektora'!E10)</f>
        <v>Dejan Vondrak</v>
      </c>
      <c r="E53" s="16" t="str">
        <f>IF(ISNONTEXT('Upis rezultata C sektora'!D10)=TRUE,"",'Upis rezultata C sektora'!D10)</f>
        <v>Bjelka GME Sunja</v>
      </c>
    </row>
    <row r="54" ht="12.75" hidden="1"/>
    <row r="55" ht="12.75" hidden="1"/>
    <row r="56" ht="12.75" hidden="1"/>
    <row r="57" ht="12.75" hidden="1"/>
    <row r="58" ht="12.75" hidden="1">
      <c r="B58" s="33" t="str">
        <f>IF(ISNONTEXT('Upis rezultata D sektora'!E2)=TRUE,"","SEKTOR D")</f>
        <v>SEKTOR D</v>
      </c>
    </row>
    <row r="59" ht="12.75" hidden="1">
      <c r="C59" s="57"/>
    </row>
    <row r="60" spans="1:5" ht="25.5" hidden="1">
      <c r="A60" s="59" t="str">
        <f>IF(ISNONTEXT('Upis rezultata D sektora'!E2)=TRUE,"","Sektorski plasman")</f>
        <v>Sektorski plasman</v>
      </c>
      <c r="B60" s="14" t="str">
        <f>IF(ISNONTEXT('Upis rezultata D sektora'!E2)=TRUE,"","Bodova")</f>
        <v>Bodova</v>
      </c>
      <c r="C60" s="59" t="str">
        <f>IF(ISNONTEXT('Upis rezultata D sektora'!E2)=TRUE,"","Startni broj")</f>
        <v>Startni broj</v>
      </c>
      <c r="D60" s="14" t="str">
        <f>IF(ISNONTEXT('Upis rezultata D sektora'!E2)=TRUE,"","Ime i prezime")</f>
        <v>Ime i prezime</v>
      </c>
      <c r="E60" s="14" t="str">
        <f>IF(ISNONTEXT('Upis rezultata D sektora'!E2)=TRUE,"","Ekipa")</f>
        <v>Ekipa</v>
      </c>
    </row>
    <row r="61" spans="1:5" ht="12.75" hidden="1">
      <c r="A61" s="56">
        <f>IF(ISNUMBER('Upis rezultata D sektora'!B2)=FALSE,"",'Upis rezultata D sektora'!B2)</f>
        <v>1</v>
      </c>
      <c r="B61" s="57">
        <f>IF(ISNUMBER('Upis rezultata D sektora'!F2)=FALSE,"",'Upis rezultata D sektora'!F2)</f>
        <v>5000</v>
      </c>
      <c r="C61" s="60">
        <f>IF(ISNUMBER('Upis rezultata D sektora'!C2)=FALSE,"",'Upis rezultata D sektora'!C2)</f>
        <v>1</v>
      </c>
      <c r="D61" s="16" t="str">
        <f>IF(ISNONTEXT('Upis rezultata D sektora'!E2)=TRUE,"",'Upis rezultata D sektora'!E2)</f>
        <v>Damir Jauševac</v>
      </c>
      <c r="E61" s="16" t="str">
        <f>IF(ISNONTEXT('Upis rezultata D sektora'!D2)=TRUE,"",'Upis rezultata D sektora'!D2)</f>
        <v>Korana Karlovac</v>
      </c>
    </row>
    <row r="62" spans="1:5" ht="12.75" hidden="1">
      <c r="A62" s="56">
        <f>IF(ISNUMBER('Upis rezultata D sektora'!B6)=FALSE,"",'Upis rezultata D sektora'!B6)</f>
        <v>2</v>
      </c>
      <c r="B62" s="57">
        <f>IF(ISNUMBER('Upis rezultata D sektora'!F6)=FALSE,"",'Upis rezultata D sektora'!F6)</f>
        <v>3700</v>
      </c>
      <c r="C62" s="60">
        <f>IF(ISNUMBER('Upis rezultata D sektora'!C6)=FALSE,"",'Upis rezultata D sektora'!C6)</f>
        <v>5</v>
      </c>
      <c r="D62" s="16" t="str">
        <f>IF(ISNONTEXT('Upis rezultata D sektora'!E6)=TRUE,"",'Upis rezultata D sektora'!E6)</f>
        <v>Damir Škorić</v>
      </c>
      <c r="E62" s="16" t="str">
        <f>IF(ISNONTEXT('Upis rezultata D sektora'!D6)=TRUE,"",'Upis rezultata D sektora'!D6)</f>
        <v>Varaždin Varaždin</v>
      </c>
    </row>
    <row r="63" spans="1:5" ht="12.75" hidden="1">
      <c r="A63" s="56">
        <f>IF(ISNUMBER('Upis rezultata D sektora'!B13)=FALSE,"",'Upis rezultata D sektora'!B13)</f>
        <v>3</v>
      </c>
      <c r="B63" s="57">
        <f>IF(ISNUMBER('Upis rezultata D sektora'!F13)=FALSE,"",'Upis rezultata D sektora'!F13)</f>
        <v>2970</v>
      </c>
      <c r="C63" s="60">
        <f>IF(ISNUMBER('Upis rezultata D sektora'!C13)=FALSE,"",'Upis rezultata D sektora'!C13)</f>
        <v>12</v>
      </c>
      <c r="D63" s="16" t="str">
        <f>IF(ISNONTEXT('Upis rezultata D sektora'!E13)=TRUE,"",'Upis rezultata D sektora'!E13)</f>
        <v>Mario Akmačić</v>
      </c>
      <c r="E63" s="16" t="str">
        <f>IF(ISNONTEXT('Upis rezultata D sektora'!D13)=TRUE,"",'Upis rezultata D sektora'!D13)</f>
        <v>Jez Jasenovac</v>
      </c>
    </row>
    <row r="64" spans="1:5" ht="12.75" hidden="1">
      <c r="A64" s="56">
        <f>IF(ISNUMBER('Upis rezultata D sektora'!B10)=FALSE,"",'Upis rezultata D sektora'!B10)</f>
        <v>4</v>
      </c>
      <c r="B64" s="57">
        <f>IF(ISNUMBER('Upis rezultata D sektora'!F10)=FALSE,"",'Upis rezultata D sektora'!F10)</f>
        <v>1790</v>
      </c>
      <c r="C64" s="60">
        <f>IF(ISNUMBER('Upis rezultata D sektora'!C10)=FALSE,"",'Upis rezultata D sektora'!C10)</f>
        <v>9</v>
      </c>
      <c r="D64" s="16" t="str">
        <f>IF(ISNONTEXT('Upis rezultata D sektora'!E10)=TRUE,"",'Upis rezultata D sektora'!E10)</f>
        <v>Zdravko Vrbanek</v>
      </c>
      <c r="E64" s="16" t="str">
        <f>IF(ISNONTEXT('Upis rezultata D sektora'!D10)=TRUE,"",'Upis rezultata D sektora'!D10)</f>
        <v>Bjelka GME Sunja</v>
      </c>
    </row>
    <row r="65" spans="1:5" ht="12.75" hidden="1">
      <c r="A65" s="56">
        <f>IF(ISNUMBER('Upis rezultata D sektora'!B12)=FALSE,"",'Upis rezultata D sektora'!B12)</f>
        <v>5.5</v>
      </c>
      <c r="B65" s="57">
        <f>IF(ISNUMBER('Upis rezultata D sektora'!F12)=FALSE,"",'Upis rezultata D sektora'!F12)</f>
        <v>1765</v>
      </c>
      <c r="C65" s="60">
        <f>IF(ISNUMBER('Upis rezultata D sektora'!C12)=FALSE,"",'Upis rezultata D sektora'!C12)</f>
        <v>11</v>
      </c>
      <c r="D65" s="16" t="str">
        <f>IF(ISNONTEXT('Upis rezultata D sektora'!E12)=TRUE,"",'Upis rezultata D sektora'!E12)</f>
        <v>Bengez Dražen</v>
      </c>
      <c r="E65" s="16" t="str">
        <f>IF(ISNONTEXT('Upis rezultata D sektora'!D12)=TRUE,"",'Upis rezultata D sektora'!D12)</f>
        <v>Ilova Garešnica</v>
      </c>
    </row>
    <row r="66" spans="1:5" ht="12.75" hidden="1">
      <c r="A66" s="56">
        <f>IF(ISNUMBER('Upis rezultata D sektora'!B11)=FALSE,"",'Upis rezultata D sektora'!B11)</f>
        <v>5.5</v>
      </c>
      <c r="B66" s="57">
        <f>IF(ISNUMBER('Upis rezultata D sektora'!F11)=FALSE,"",'Upis rezultata D sektora'!F11)</f>
        <v>1765</v>
      </c>
      <c r="C66" s="60">
        <f>IF(ISNUMBER('Upis rezultata D sektora'!C11)=FALSE,"",'Upis rezultata D sektora'!C11)</f>
        <v>10</v>
      </c>
      <c r="D66" s="16" t="str">
        <f>IF(ISNONTEXT('Upis rezultata D sektora'!E11)=TRUE,"",'Upis rezultata D sektora'!E11)</f>
        <v>Zlatko Kraljević</v>
      </c>
      <c r="E66" s="16" t="str">
        <f>IF(ISNONTEXT('Upis rezultata D sektora'!D11)=TRUE,"",'Upis rezultata D sektora'!D11)</f>
        <v>TPK Zagreb</v>
      </c>
    </row>
    <row r="67" spans="1:5" ht="12.75" hidden="1">
      <c r="A67" s="56">
        <f>IF(ISNUMBER('Upis rezultata D sektora'!B8)=FALSE,"",'Upis rezultata D sektora'!B8)</f>
        <v>7</v>
      </c>
      <c r="B67" s="57">
        <f>IF(ISNUMBER('Upis rezultata D sektora'!F8)=FALSE,"",'Upis rezultata D sektora'!F8)</f>
        <v>1498</v>
      </c>
      <c r="C67" s="60">
        <f>IF(ISNUMBER('Upis rezultata D sektora'!C8)=FALSE,"",'Upis rezultata D sektora'!C8)</f>
        <v>7</v>
      </c>
      <c r="D67" s="16" t="str">
        <f>IF(ISNONTEXT('Upis rezultata D sektora'!E8)=TRUE,"",'Upis rezultata D sektora'!E8)</f>
        <v>Tihomir Vukić</v>
      </c>
      <c r="E67" s="16" t="str">
        <f>IF(ISNONTEXT('Upis rezultata D sektora'!D8)=TRUE,"",'Upis rezultata D sektora'!D8)</f>
        <v>Trnje-ŠR Zagreb</v>
      </c>
    </row>
    <row r="68" spans="1:5" ht="12.75" hidden="1">
      <c r="A68" s="56">
        <f>IF(ISNUMBER('Upis rezultata D sektora'!B7)=FALSE,"",'Upis rezultata D sektora'!B7)</f>
        <v>8</v>
      </c>
      <c r="B68" s="57">
        <f>IF(ISNUMBER('Upis rezultata D sektora'!F7)=FALSE,"",'Upis rezultata D sektora'!F7)</f>
        <v>1354</v>
      </c>
      <c r="C68" s="60">
        <f>IF(ISNUMBER('Upis rezultata D sektora'!C7)=FALSE,"",'Upis rezultata D sektora'!C7)</f>
        <v>6</v>
      </c>
      <c r="D68" s="16" t="str">
        <f>IF(ISNONTEXT('Upis rezultata D sektora'!E7)=TRUE,"",'Upis rezultata D sektora'!E7)</f>
        <v>Mensur Rošić</v>
      </c>
      <c r="E68" s="16" t="str">
        <f>IF(ISNONTEXT('Upis rezultata D sektora'!D7)=TRUE,"",'Upis rezultata D sektora'!D7)</f>
        <v>Azzuro Varaždin</v>
      </c>
    </row>
    <row r="69" spans="1:5" ht="12.75" hidden="1">
      <c r="A69" s="56">
        <f>IF(ISNUMBER('Upis rezultata D sektora'!B5)=FALSE,"",'Upis rezultata D sektora'!B5)</f>
        <v>9</v>
      </c>
      <c r="B69" s="57">
        <f>IF(ISNUMBER('Upis rezultata D sektora'!F5)=FALSE,"",'Upis rezultata D sektora'!F5)</f>
        <v>1325</v>
      </c>
      <c r="C69" s="60">
        <f>IF(ISNUMBER('Upis rezultata D sektora'!C5)=FALSE,"",'Upis rezultata D sektora'!C5)</f>
        <v>4</v>
      </c>
      <c r="D69" s="16" t="str">
        <f>IF(ISNONTEXT('Upis rezultata D sektora'!E5)=TRUE,"",'Upis rezultata D sektora'!E5)</f>
        <v>Marijan Jurić</v>
      </c>
      <c r="E69" s="16" t="str">
        <f>IF(ISNONTEXT('Upis rezultata D sektora'!D5)=TRUE,"",'Upis rezultata D sektora'!D5)</f>
        <v>Bjelovar Bjelovar</v>
      </c>
    </row>
    <row r="70" spans="1:5" ht="12.75" hidden="1">
      <c r="A70" s="56">
        <f>IF(ISNUMBER('Upis rezultata D sektora'!B4)=FALSE,"",'Upis rezultata D sektora'!B4)</f>
        <v>10</v>
      </c>
      <c r="B70" s="57">
        <f>IF(ISNUMBER('Upis rezultata D sektora'!F4)=FALSE,"",'Upis rezultata D sektora'!F4)</f>
        <v>1256</v>
      </c>
      <c r="C70" s="60">
        <f>IF(ISNUMBER('Upis rezultata D sektora'!C4)=FALSE,"",'Upis rezultata D sektora'!C4)</f>
        <v>3</v>
      </c>
      <c r="D70" s="16" t="str">
        <f>IF(ISNONTEXT('Upis rezultata D sektora'!E4)=TRUE,"",'Upis rezultata D sektora'!E4)</f>
        <v>Zlatko Novačić</v>
      </c>
      <c r="E70" s="16" t="str">
        <f>IF(ISNONTEXT('Upis rezultata D sektora'!D4)=TRUE,"",'Upis rezultata D sektora'!D4)</f>
        <v>Rak Rakitje</v>
      </c>
    </row>
    <row r="71" spans="1:5" ht="12.75" hidden="1">
      <c r="A71" s="56">
        <f>IF(ISNUMBER('Upis rezultata D sektora'!B3)=FALSE,"",'Upis rezultata D sektora'!B3)</f>
        <v>11</v>
      </c>
      <c r="B71" s="57">
        <f>IF(ISNUMBER('Upis rezultata D sektora'!F3)=FALSE,"",'Upis rezultata D sektora'!F3)</f>
        <v>1098</v>
      </c>
      <c r="C71" s="60">
        <f>IF(ISNUMBER('Upis rezultata D sektora'!C3)=FALSE,"",'Upis rezultata D sektora'!C3)</f>
        <v>2</v>
      </c>
      <c r="D71" s="16" t="str">
        <f>IF(ISNONTEXT('Upis rezultata D sektora'!E3)=TRUE,"",'Upis rezultata D sektora'!E3)</f>
        <v>Hrvoje Horvat</v>
      </c>
      <c r="E71" s="16" t="str">
        <f>IF(ISNONTEXT('Upis rezultata D sektora'!D3)=TRUE,"",'Upis rezultata D sektora'!D3)</f>
        <v>Štuka Torčec</v>
      </c>
    </row>
    <row r="72" spans="1:5" ht="12.75" hidden="1">
      <c r="A72" s="56">
        <f>IF(ISNUMBER('Upis rezultata D sektora'!B9)=FALSE,"",'Upis rezultata D sektora'!B9)</f>
        <v>12</v>
      </c>
      <c r="B72" s="57">
        <f>IF(ISNUMBER('Upis rezultata D sektora'!F9)=FALSE,"",'Upis rezultata D sektora'!F9)</f>
        <v>480</v>
      </c>
      <c r="C72" s="60">
        <f>IF(ISNUMBER('Upis rezultata D sektora'!C9)=FALSE,"",'Upis rezultata D sektora'!C9)</f>
        <v>8</v>
      </c>
      <c r="D72" s="16" t="str">
        <f>IF(ISNONTEXT('Upis rezultata D sektora'!E9)=TRUE,"",'Upis rezultata D sektora'!E9)</f>
        <v>Goran Funes</v>
      </c>
      <c r="E72" s="16" t="str">
        <f>IF(ISNONTEXT('Upis rezultata D sektora'!D9)=TRUE,"",'Upis rezultata D sektora'!D9)</f>
        <v>Klen N.Gradiška</v>
      </c>
    </row>
    <row r="73" ht="12.75" hidden="1"/>
    <row r="74" ht="12.75" hidden="1"/>
    <row r="75" ht="12.75" hidden="1">
      <c r="B75" s="33" t="str">
        <f>IF(ISNONTEXT('Upis rezultata E sektora'!E2)=TRUE,"","SEKTOR E")</f>
        <v>SEKTOR E</v>
      </c>
    </row>
    <row r="76" ht="12.75" hidden="1">
      <c r="C76" s="57"/>
    </row>
    <row r="77" spans="1:5" ht="25.5" hidden="1">
      <c r="A77" s="59" t="str">
        <f>IF(ISNONTEXT('Upis rezultata E sektora'!E2)=TRUE,"","Sektorski plasman")</f>
        <v>Sektorski plasman</v>
      </c>
      <c r="B77" s="14" t="str">
        <f>IF(ISNONTEXT('Upis rezultata E sektora'!E2)=TRUE,"","Bodova")</f>
        <v>Bodova</v>
      </c>
      <c r="C77" s="59" t="str">
        <f>IF(ISNONTEXT('Upis rezultata E sektora'!E2)=TRUE,"","Startni broj")</f>
        <v>Startni broj</v>
      </c>
      <c r="D77" s="14" t="str">
        <f>IF(ISNONTEXT('Upis rezultata E sektora'!E2)=TRUE,"","Ime i prezime")</f>
        <v>Ime i prezime</v>
      </c>
      <c r="E77" s="14" t="str">
        <f>IF(ISNONTEXT('Upis rezultata E sektora'!E2)=TRUE,"","Ekipa")</f>
        <v>Ekipa</v>
      </c>
    </row>
    <row r="78" spans="1:5" ht="12.75" hidden="1">
      <c r="A78" s="56">
        <f>IF(ISNUMBER('Upis rezultata E sektora'!B2)=FALSE,"",'Upis rezultata E sektora'!B2)</f>
        <v>1</v>
      </c>
      <c r="B78" s="57">
        <f>IF(ISNUMBER('Upis rezultata E sektora'!F2)=FALSE,"",'Upis rezultata E sektora'!F2)</f>
        <v>5000</v>
      </c>
      <c r="C78" s="60">
        <f>IF(ISNUMBER('Upis rezultata E sektora'!C2)=FALSE,"",'Upis rezultata E sektora'!C2)</f>
        <v>1</v>
      </c>
      <c r="D78" s="16" t="str">
        <f>IF(ISNONTEXT('Upis rezultata E sektora'!E2)=TRUE,"",'Upis rezultata E sektora'!E2)</f>
        <v>Ivan Kovač</v>
      </c>
      <c r="E78" s="16" t="str">
        <f>IF(ISNONTEXT('Upis rezultata E sektora'!D2)=TRUE,"",'Upis rezultata E sektora'!D2)</f>
        <v>Korana Karlovac</v>
      </c>
    </row>
    <row r="79" spans="1:5" ht="12.75" hidden="1">
      <c r="A79" s="56">
        <f>IF(ISNUMBER('Upis rezultata E sektora'!B13)=FALSE,"",'Upis rezultata E sektora'!B13)</f>
        <v>2</v>
      </c>
      <c r="B79" s="57">
        <f>IF(ISNUMBER('Upis rezultata E sektora'!F13)=FALSE,"",'Upis rezultata E sektora'!F13)</f>
        <v>3800</v>
      </c>
      <c r="C79" s="60">
        <f>IF(ISNUMBER('Upis rezultata E sektora'!C13)=FALSE,"",'Upis rezultata E sektora'!C13)</f>
        <v>12</v>
      </c>
      <c r="D79" s="16" t="str">
        <f>IF(ISNONTEXT('Upis rezultata E sektora'!E13)=TRUE,"",'Upis rezultata E sektora'!E13)</f>
        <v>Ivan Finek</v>
      </c>
      <c r="E79" s="16" t="str">
        <f>IF(ISNONTEXT('Upis rezultata E sektora'!D13)=TRUE,"",'Upis rezultata E sektora'!D13)</f>
        <v>Jez Jasenovac</v>
      </c>
    </row>
    <row r="80" spans="1:5" ht="12.75" hidden="1">
      <c r="A80" s="56">
        <f>IF(ISNUMBER('Upis rezultata E sektora'!B12)=FALSE,"",'Upis rezultata E sektora'!B12)</f>
        <v>3.5</v>
      </c>
      <c r="B80" s="57">
        <f>IF(ISNUMBER('Upis rezultata E sektora'!F12)=FALSE,"",'Upis rezultata E sektora'!F12)</f>
        <v>1765</v>
      </c>
      <c r="C80" s="60">
        <f>IF(ISNUMBER('Upis rezultata E sektora'!C12)=FALSE,"",'Upis rezultata E sektora'!C12)</f>
        <v>11</v>
      </c>
      <c r="D80" s="16" t="str">
        <f>IF(ISNONTEXT('Upis rezultata E sektora'!E12)=TRUE,"",'Upis rezultata E sektora'!E12)</f>
        <v>Josip Kutlić</v>
      </c>
      <c r="E80" s="16" t="str">
        <f>IF(ISNONTEXT('Upis rezultata E sektora'!D12)=TRUE,"",'Upis rezultata E sektora'!D12)</f>
        <v>Ilova Garešnica</v>
      </c>
    </row>
    <row r="81" spans="1:5" ht="12.75" hidden="1">
      <c r="A81" s="56">
        <f>IF(ISNUMBER('Upis rezultata E sektora'!B11)=FALSE,"",'Upis rezultata E sektora'!B11)</f>
        <v>3.5</v>
      </c>
      <c r="B81" s="57">
        <f>IF(ISNUMBER('Upis rezultata E sektora'!F11)=FALSE,"",'Upis rezultata E sektora'!F11)</f>
        <v>1765</v>
      </c>
      <c r="C81" s="60">
        <f>IF(ISNUMBER('Upis rezultata E sektora'!C11)=FALSE,"",'Upis rezultata E sektora'!C11)</f>
        <v>10</v>
      </c>
      <c r="D81" s="16" t="str">
        <f>IF(ISNONTEXT('Upis rezultata E sektora'!E11)=TRUE,"",'Upis rezultata E sektora'!E11)</f>
        <v>Zoran Štefanić</v>
      </c>
      <c r="E81" s="16" t="str">
        <f>IF(ISNONTEXT('Upis rezultata E sektora'!D11)=TRUE,"",'Upis rezultata E sektora'!D11)</f>
        <v>TPK Zagreb</v>
      </c>
    </row>
    <row r="82" spans="1:5" ht="12.75" hidden="1">
      <c r="A82" s="56">
        <f>IF(ISNUMBER('Upis rezultata E sektora'!B10)=FALSE,"",'Upis rezultata E sektora'!B10)</f>
        <v>5</v>
      </c>
      <c r="B82" s="57">
        <f>IF(ISNUMBER('Upis rezultata E sektora'!F10)=FALSE,"",'Upis rezultata E sektora'!F10)</f>
        <v>1498</v>
      </c>
      <c r="C82" s="60">
        <f>IF(ISNUMBER('Upis rezultata E sektora'!C10)=FALSE,"",'Upis rezultata E sektora'!C10)</f>
        <v>9</v>
      </c>
      <c r="D82" s="16" t="str">
        <f>IF(ISNONTEXT('Upis rezultata E sektora'!E10)=TRUE,"",'Upis rezultata E sektora'!E10)</f>
        <v>Damir Jauševac</v>
      </c>
      <c r="E82" s="16" t="str">
        <f>IF(ISNONTEXT('Upis rezultata E sektora'!D10)=TRUE,"",'Upis rezultata E sektora'!D10)</f>
        <v>Bjelka GME Sunja</v>
      </c>
    </row>
    <row r="83" spans="1:5" ht="12.75" hidden="1">
      <c r="A83" s="56">
        <f>IF(ISNUMBER('Upis rezultata E sektora'!B9)=FALSE,"",'Upis rezultata E sektora'!B9)</f>
        <v>6</v>
      </c>
      <c r="B83" s="57">
        <f>IF(ISNUMBER('Upis rezultata E sektora'!F9)=FALSE,"",'Upis rezultata E sektora'!F9)</f>
        <v>1497</v>
      </c>
      <c r="C83" s="60">
        <f>IF(ISNUMBER('Upis rezultata E sektora'!C9)=FALSE,"",'Upis rezultata E sektora'!C9)</f>
        <v>8</v>
      </c>
      <c r="D83" s="16" t="str">
        <f>IF(ISNONTEXT('Upis rezultata E sektora'!E9)=TRUE,"",'Upis rezultata E sektora'!E9)</f>
        <v>Stiven Palijan</v>
      </c>
      <c r="E83" s="16" t="str">
        <f>IF(ISNONTEXT('Upis rezultata E sektora'!D9)=TRUE,"",'Upis rezultata E sektora'!D9)</f>
        <v>Klen N.Gradiška</v>
      </c>
    </row>
    <row r="84" spans="1:5" ht="12.75" hidden="1">
      <c r="A84" s="56">
        <f>IF(ISNUMBER('Upis rezultata E sektora'!B8)=FALSE,"",'Upis rezultata E sektora'!B8)</f>
        <v>7</v>
      </c>
      <c r="B84" s="57">
        <f>IF(ISNUMBER('Upis rezultata E sektora'!F8)=FALSE,"",'Upis rezultata E sektora'!F8)</f>
        <v>1354</v>
      </c>
      <c r="C84" s="60">
        <f>IF(ISNUMBER('Upis rezultata E sektora'!C8)=FALSE,"",'Upis rezultata E sektora'!C8)</f>
        <v>7</v>
      </c>
      <c r="D84" s="16" t="str">
        <f>IF(ISNONTEXT('Upis rezultata E sektora'!E8)=TRUE,"",'Upis rezultata E sektora'!E8)</f>
        <v>Goran Abramović</v>
      </c>
      <c r="E84" s="16" t="str">
        <f>IF(ISNONTEXT('Upis rezultata E sektora'!D8)=TRUE,"",'Upis rezultata E sektora'!D8)</f>
        <v>Trnje-ŠR Zagreb</v>
      </c>
    </row>
    <row r="85" spans="1:5" ht="12.75" hidden="1">
      <c r="A85" s="56">
        <f>IF(ISNUMBER('Upis rezultata E sektora'!B7)=FALSE,"",'Upis rezultata E sektora'!B7)</f>
        <v>8.5</v>
      </c>
      <c r="B85" s="57">
        <f>IF(ISNUMBER('Upis rezultata E sektora'!F7)=FALSE,"",'Upis rezultata E sektora'!F7)</f>
        <v>1325</v>
      </c>
      <c r="C85" s="60">
        <f>IF(ISNUMBER('Upis rezultata E sektora'!C7)=FALSE,"",'Upis rezultata E sektora'!C7)</f>
        <v>6</v>
      </c>
      <c r="D85" s="16" t="str">
        <f>IF(ISNONTEXT('Upis rezultata E sektora'!E7)=TRUE,"",'Upis rezultata E sektora'!E7)</f>
        <v>Davor Florijanić</v>
      </c>
      <c r="E85" s="16" t="str">
        <f>IF(ISNONTEXT('Upis rezultata E sektora'!D7)=TRUE,"",'Upis rezultata E sektora'!D7)</f>
        <v>Azzuro Varaždin</v>
      </c>
    </row>
    <row r="86" spans="1:5" ht="12.75" hidden="1">
      <c r="A86" s="56">
        <f>IF(ISNUMBER('Upis rezultata E sektora'!B6)=FALSE,"",'Upis rezultata E sektora'!B6)</f>
        <v>8.5</v>
      </c>
      <c r="B86" s="57">
        <f>IF(ISNUMBER('Upis rezultata E sektora'!F6)=FALSE,"",'Upis rezultata E sektora'!F6)</f>
        <v>1325</v>
      </c>
      <c r="C86" s="60">
        <f>IF(ISNUMBER('Upis rezultata E sektora'!C6)=FALSE,"",'Upis rezultata E sektora'!C6)</f>
        <v>5</v>
      </c>
      <c r="D86" s="16" t="str">
        <f>IF(ISNONTEXT('Upis rezultata E sektora'!E6)=TRUE,"",'Upis rezultata E sektora'!E6)</f>
        <v>Kristijan Kosmačin</v>
      </c>
      <c r="E86" s="16" t="str">
        <f>IF(ISNONTEXT('Upis rezultata E sektora'!D6)=TRUE,"",'Upis rezultata E sektora'!D6)</f>
        <v>Varaždin Varaždin</v>
      </c>
    </row>
    <row r="87" spans="1:5" ht="12.75" hidden="1">
      <c r="A87" s="56">
        <f>IF(ISNUMBER('Upis rezultata E sektora'!B5)=FALSE,"",'Upis rezultata E sektora'!B5)</f>
        <v>10.5</v>
      </c>
      <c r="B87" s="57">
        <f>IF(ISNUMBER('Upis rezultata E sektora'!F5)=FALSE,"",'Upis rezultata E sektora'!F5)</f>
        <v>1256</v>
      </c>
      <c r="C87" s="60">
        <f>IF(ISNUMBER('Upis rezultata E sektora'!C5)=FALSE,"",'Upis rezultata E sektora'!C5)</f>
        <v>4</v>
      </c>
      <c r="D87" s="16" t="str">
        <f>IF(ISNONTEXT('Upis rezultata E sektora'!E5)=TRUE,"",'Upis rezultata E sektora'!E5)</f>
        <v>Dražen Štajduhar</v>
      </c>
      <c r="E87" s="16" t="str">
        <f>IF(ISNONTEXT('Upis rezultata E sektora'!D5)=TRUE,"",'Upis rezultata E sektora'!D5)</f>
        <v>Bjelovar Bjelovar</v>
      </c>
    </row>
    <row r="88" spans="1:5" ht="12.75" hidden="1">
      <c r="A88" s="56">
        <f>IF(ISNUMBER('Upis rezultata E sektora'!B4)=FALSE,"",'Upis rezultata E sektora'!B4)</f>
        <v>10.5</v>
      </c>
      <c r="B88" s="57">
        <f>IF(ISNUMBER('Upis rezultata E sektora'!F4)=FALSE,"",'Upis rezultata E sektora'!F4)</f>
        <v>1256</v>
      </c>
      <c r="C88" s="60">
        <f>IF(ISNUMBER('Upis rezultata E sektora'!C4)=FALSE,"",'Upis rezultata E sektora'!C4)</f>
        <v>3</v>
      </c>
      <c r="D88" s="16" t="str">
        <f>IF(ISNONTEXT('Upis rezultata E sektora'!E4)=TRUE,"",'Upis rezultata E sektora'!E4)</f>
        <v>Zlatko Auker</v>
      </c>
      <c r="E88" s="16" t="str">
        <f>IF(ISNONTEXT('Upis rezultata E sektora'!D4)=TRUE,"",'Upis rezultata E sektora'!D4)</f>
        <v>Rak Rakitje</v>
      </c>
    </row>
    <row r="89" spans="1:5" ht="12.75" hidden="1">
      <c r="A89" s="56">
        <f>IF(ISNUMBER('Upis rezultata E sektora'!B3)=FALSE,"",'Upis rezultata E sektora'!B3)</f>
        <v>12</v>
      </c>
      <c r="B89" s="57">
        <f>IF(ISNUMBER('Upis rezultata E sektora'!F3)=FALSE,"",'Upis rezultata E sektora'!F3)</f>
        <v>1045</v>
      </c>
      <c r="C89" s="60">
        <f>IF(ISNUMBER('Upis rezultata E sektora'!C3)=FALSE,"",'Upis rezultata E sektora'!C3)</f>
        <v>2</v>
      </c>
      <c r="D89" s="16" t="str">
        <f>IF(ISNONTEXT('Upis rezultata E sektora'!E3)=TRUE,"",'Upis rezultata E sektora'!E3)</f>
        <v>Saša Mustač</v>
      </c>
      <c r="E89" s="16" t="str">
        <f>IF(ISNONTEXT('Upis rezultata E sektora'!D3)=TRUE,"",'Upis rezultata E sektora'!D3)</f>
        <v>Štuka Torčec</v>
      </c>
    </row>
    <row r="90" ht="12.75" hidden="1"/>
    <row r="95" ht="12.75"/>
    <row r="96" ht="12.75"/>
    <row r="97" ht="12.75"/>
  </sheetData>
  <sheetProtection/>
  <printOptions horizontalCentered="1"/>
  <pageMargins left="0.7480314960629921" right="0.7480314960629921" top="0.5905511811023623" bottom="0.984251968503937" header="0.3937007874015748" footer="0.5118110236220472"/>
  <pageSetup horizontalDpi="300" verticalDpi="300" orientation="portrait" paperSize="9" r:id="rId3"/>
  <headerFooter alignWithMargins="0">
    <oddHeader>&amp;C&amp;9&amp;Y&amp;A&amp;R&amp;9&amp;YStrana &amp;P</oddHeader>
    <oddFooter>&amp;C&amp;"Arial,Italic"&amp;9&amp;Y&amp;F by Mladen Čačić</oddFooter>
  </headerFooter>
  <legacyDrawing r:id="rId2"/>
</worksheet>
</file>

<file path=xl/worksheets/sheet18.xml><?xml version="1.0" encoding="utf-8"?>
<worksheet xmlns="http://schemas.openxmlformats.org/spreadsheetml/2006/main" xmlns:r="http://schemas.openxmlformats.org/officeDocument/2006/relationships">
  <sheetPr codeName="Sheet47">
    <tabColor indexed="13"/>
  </sheetPr>
  <dimension ref="A1:P60"/>
  <sheetViews>
    <sheetView showRowColHeaders="0" zoomScalePageLayoutView="0" workbookViewId="0" topLeftCell="A61">
      <selection activeCell="A1" sqref="A1:IV20"/>
    </sheetView>
  </sheetViews>
  <sheetFormatPr defaultColWidth="9.140625" defaultRowHeight="12.75"/>
  <cols>
    <col min="1" max="1" width="5.28125" style="47" customWidth="1"/>
    <col min="2" max="2" width="29.140625" style="0" customWidth="1"/>
    <col min="3" max="3" width="11.00390625" style="47" customWidth="1"/>
    <col min="4" max="4" width="11.28125" style="47" customWidth="1"/>
    <col min="5" max="5" width="12.8515625" style="47" customWidth="1"/>
    <col min="6" max="6" width="13.7109375" style="47" customWidth="1"/>
    <col min="7" max="9" width="13.7109375" style="47" hidden="1" customWidth="1"/>
    <col min="10" max="10" width="12.8515625" style="47" hidden="1" customWidth="1"/>
    <col min="11" max="11" width="15.7109375" style="47" hidden="1" customWidth="1"/>
    <col min="12" max="12" width="9.28125" style="47" hidden="1" customWidth="1"/>
    <col min="13" max="13" width="27.00390625" style="7" customWidth="1"/>
    <col min="14" max="16" width="9.140625" style="47" customWidth="1"/>
  </cols>
  <sheetData>
    <row r="1" spans="3:15" s="48" customFormat="1" ht="12.75" hidden="1">
      <c r="C1" s="78" t="s">
        <v>85</v>
      </c>
      <c r="M1" s="15"/>
      <c r="O1" s="47"/>
    </row>
    <row r="2" spans="1:16" s="50" customFormat="1" ht="12.75" hidden="1">
      <c r="A2" s="47"/>
      <c r="C2" s="77" t="str">
        <f>IF(ISNONTEXT('Organizacija natjecanja'!H2)=TRUE,"",'Organizacija natjecanja'!H2)</f>
        <v>KUP "BLJESAK"</v>
      </c>
      <c r="E2" s="47"/>
      <c r="F2" s="47"/>
      <c r="G2" s="47"/>
      <c r="H2" s="47"/>
      <c r="I2" s="47"/>
      <c r="J2" s="47"/>
      <c r="K2" s="47"/>
      <c r="L2" s="47"/>
      <c r="M2" s="7"/>
      <c r="N2" s="47"/>
      <c r="O2" s="47"/>
      <c r="P2" s="47"/>
    </row>
    <row r="3" ht="12.75" hidden="1">
      <c r="E3" s="47" t="str">
        <f>IF(ISNONTEXT('Organizacija natjecanja'!H5)=TRUE,"",'Organizacija natjecanja'!H5)</f>
        <v>Lipik, 28.04.2009.g.</v>
      </c>
    </row>
    <row r="4" ht="12.75" hidden="1">
      <c r="O4" s="48"/>
    </row>
    <row r="5" spans="1:11" ht="38.25" hidden="1">
      <c r="A5" s="51" t="s">
        <v>86</v>
      </c>
      <c r="B5" s="48" t="s">
        <v>87</v>
      </c>
      <c r="C5" s="51" t="s">
        <v>88</v>
      </c>
      <c r="D5" s="51" t="s">
        <v>89</v>
      </c>
      <c r="E5" s="51" t="s">
        <v>90</v>
      </c>
      <c r="F5" s="52" t="s">
        <v>91</v>
      </c>
      <c r="G5" s="133" t="s">
        <v>164</v>
      </c>
      <c r="H5" s="133" t="s">
        <v>222</v>
      </c>
      <c r="I5" s="133" t="s">
        <v>222</v>
      </c>
      <c r="J5" s="177" t="s">
        <v>163</v>
      </c>
      <c r="K5" s="177" t="s">
        <v>222</v>
      </c>
    </row>
    <row r="6" spans="1:16" s="49" customFormat="1" ht="12.75" hidden="1">
      <c r="A6" s="53">
        <v>1</v>
      </c>
      <c r="B6" s="49" t="str">
        <f>IF(ISBLANK('Prijava ekipa i izvlačenje br.'!C2)=TRUE,"",'Prijava ekipa i izvlačenje br.'!C2)</f>
        <v>Korana Karlovac</v>
      </c>
      <c r="C6" s="53">
        <f>IF(ISNUMBER('Upis rezultata A sektora'!B2)=FALSE,"",SUM('Upis rezultata A sektora'!B2,'Upis rezultata B sektora'!B2,'Upis rezultata C sektora'!B2,'Upis rezultata D sektora'!B2,'Upis rezultata E sektora'!B2))</f>
        <v>5</v>
      </c>
      <c r="D6" s="53">
        <f>IF(ISNUMBER(C6)=FALSE,"",IF(((C6)/5)=(COUNTA(B$6:B$17)-COUNTIF(B$6:B$17,"")+1),"",SUM('Upis rezultata A sektora'!F2,'Upis rezultata B sektora'!F2,'Upis rezultata C sektora'!F2,'Upis rezultata D sektora'!F2,'Upis rezultata E sektora'!F2)))</f>
        <v>25000</v>
      </c>
      <c r="E6" s="53">
        <f>IF(ISNUMBER(C6)=FALSE,"",IF(((C6)/5)=(COUNTA(B$6:B$17)-COUNTIF(B$6:B$17,"")+1),"",MAX('Upis rezultata A sektora'!F2,'Upis rezultata B sektora'!F2,'Upis rezultata C sektora'!F2,'Upis rezultata D sektora'!F2,'Upis rezultata E sektora'!F2)))</f>
        <v>5000</v>
      </c>
      <c r="F6" s="54">
        <f>IF(ISNUMBER(C6)=FALSE,"",IF(((C6)/5)=(COUNTA(B$6:B$17)-COUNTIF(B$6:B$17,"")+1),(COUNTA(B$6:B$17)-COUNTIF(B$6:B$17,"")+1),J6))</f>
        <v>1</v>
      </c>
      <c r="G6" s="70">
        <f>VLOOKUP(B6,'Upis rezultata A sektora'!$D$2:$G$13,4,FALSE)</f>
        <v>1</v>
      </c>
      <c r="H6" s="70">
        <f>IF(ISNUMBER(C6)=FALSE,"",SUM('Upis rezultata A sektora'!F2,'Upis rezultata B sektora'!F2,'Upis rezultata C sektora'!F2,'Upis rezultata D sektora'!F2,'Upis rezultata E sektora'!F2))</f>
        <v>25000</v>
      </c>
      <c r="I6" s="70">
        <f>IF(ISNUMBER(C6)=FALSE,"",MAX('Upis rezultata A sektora'!F2,'Upis rezultata B sektora'!F2,'Upis rezultata C sektora'!F2,'Upis rezultata D sektora'!F2,'Upis rezultata E sektora'!F2))</f>
        <v>5000</v>
      </c>
      <c r="J6" s="70">
        <f>IF(ISNUMBER(C6)=FALSE,"",RANK(K6,$K$6:$K$17,1))</f>
        <v>1</v>
      </c>
      <c r="K6" s="55">
        <f>IF(ISNUMBER(C6)=FALSE,"",C6-H6/100000-I6/1000000000)</f>
        <v>4.749995</v>
      </c>
      <c r="L6" s="53"/>
      <c r="N6" s="53"/>
      <c r="O6" s="53"/>
      <c r="P6" s="53"/>
    </row>
    <row r="7" spans="1:16" s="49" customFormat="1" ht="12.75" hidden="1">
      <c r="A7" s="53">
        <v>12</v>
      </c>
      <c r="B7" s="49" t="str">
        <f>IF(ISBLANK('Prijava ekipa i izvlačenje br.'!C13)=TRUE,"",'Prijava ekipa i izvlačenje br.'!C13)</f>
        <v>Jez Jasenovac</v>
      </c>
      <c r="C7" s="53">
        <f>IF(ISNUMBER('Upis rezultata A sektora'!B13)=FALSE,"",SUM('Upis rezultata A sektora'!B13,'Upis rezultata B sektora'!B13,'Upis rezultata C sektora'!B13,'Upis rezultata D sektora'!B13,'Upis rezultata E sektora'!B13))</f>
        <v>17</v>
      </c>
      <c r="D7" s="53">
        <f>IF(ISNUMBER(C7)=FALSE,"",IF(((C7)/5)=(COUNTA(B$6:B$17)-COUNTIF(B$6:B$17,"")+1),"",SUM('Upis rezultata A sektora'!F13,'Upis rezultata B sektora'!F13,'Upis rezultata C sektora'!F13,'Upis rezultata D sektora'!F13,'Upis rezultata E sektora'!F13)))</f>
        <v>16650</v>
      </c>
      <c r="E7" s="53">
        <f>IF(ISNUMBER(C7)=FALSE,"",IF(((C7)/5)=(COUNTA(B$6:B$17)-COUNTIF(B$6:B$17,"")+1),"",MAX('Upis rezultata A sektora'!F13,'Upis rezultata B sektora'!F13,'Upis rezultata C sektora'!F13,'Upis rezultata D sektora'!F13,'Upis rezultata E sektora'!F13)))</f>
        <v>4500</v>
      </c>
      <c r="F7" s="54">
        <f>IF(ISNUMBER(C7)=FALSE,"",IF(((C7)/5)=(COUNTA(B$6:B$17)-COUNTIF(B$6:B$17,"")+1),(COUNTA(B$6:B$17)-COUNTIF(B$6:B$17,"")+1),J7))</f>
        <v>2</v>
      </c>
      <c r="G7" s="70">
        <f>VLOOKUP(B7,'Upis rezultata A sektora'!$D$2:$G$13,4,FALSE)</f>
        <v>12</v>
      </c>
      <c r="H7" s="70">
        <f>IF(ISNUMBER(C7)=FALSE,"",SUM('Upis rezultata A sektora'!F13,'Upis rezultata B sektora'!F13,'Upis rezultata C sektora'!F13,'Upis rezultata D sektora'!F13,'Upis rezultata E sektora'!F13))</f>
        <v>16650</v>
      </c>
      <c r="I7" s="70">
        <f>IF(ISNUMBER(C7)=FALSE,"",MAX('Upis rezultata A sektora'!F13,'Upis rezultata B sektora'!F13,'Upis rezultata C sektora'!F13,'Upis rezultata D sektora'!F13,'Upis rezultata E sektora'!F13))</f>
        <v>4500</v>
      </c>
      <c r="J7" s="70">
        <f>IF(ISNUMBER(C7)=FALSE,"",RANK(K7,$K$6:$K$17,1))</f>
        <v>2</v>
      </c>
      <c r="K7" s="55">
        <f>IF(ISNUMBER(C7)=FALSE,"",C7-H7/100000-I7/1000000000)</f>
        <v>16.8334955</v>
      </c>
      <c r="L7" s="53"/>
      <c r="N7" s="53"/>
      <c r="O7" s="53"/>
      <c r="P7" s="53"/>
    </row>
    <row r="8" spans="1:16" s="49" customFormat="1" ht="12.75" hidden="1">
      <c r="A8" s="53">
        <v>11</v>
      </c>
      <c r="B8" s="49" t="str">
        <f>IF(ISBLANK('Prijava ekipa i izvlačenje br.'!C12)=TRUE,"",'Prijava ekipa i izvlačenje br.'!C12)</f>
        <v>Ilova Garešnica</v>
      </c>
      <c r="C8" s="53">
        <f>IF(ISNUMBER('Upis rezultata A sektora'!B12)=FALSE,"",SUM('Upis rezultata A sektora'!B12,'Upis rezultata B sektora'!B12,'Upis rezultata C sektora'!B12,'Upis rezultata D sektora'!B12,'Upis rezultata E sektora'!B12))</f>
        <v>28</v>
      </c>
      <c r="D8" s="53">
        <f>IF(ISNUMBER(C8)=FALSE,"",IF(((C8)/5)=(COUNTA(B$6:B$17)-COUNTIF(B$6:B$17,"")+1),"",SUM('Upis rezultata A sektora'!F12,'Upis rezultata B sektora'!F12,'Upis rezultata C sektora'!F12,'Upis rezultata D sektora'!F12,'Upis rezultata E sektora'!F12)))</f>
        <v>9860</v>
      </c>
      <c r="E8" s="53">
        <f>IF(ISNUMBER(C8)=FALSE,"",IF(((C8)/5)=(COUNTA(B$6:B$17)-COUNTIF(B$6:B$17,"")+1),"",MAX('Upis rezultata A sektora'!F12,'Upis rezultata B sektora'!F12,'Upis rezultata C sektora'!F12,'Upis rezultata D sektora'!F12,'Upis rezultata E sektora'!F12)))</f>
        <v>2800</v>
      </c>
      <c r="F8" s="54">
        <f>IF(ISNUMBER(C8)=FALSE,"",IF(((C8)/5)=(COUNTA(B$6:B$17)-COUNTIF(B$6:B$17,"")+1),(COUNTA(B$6:B$17)-COUNTIF(B$6:B$17,"")+1),J8))</f>
        <v>3</v>
      </c>
      <c r="G8" s="70">
        <f>VLOOKUP(B8,'Upis rezultata A sektora'!$D$2:$G$13,4,FALSE)</f>
        <v>11</v>
      </c>
      <c r="H8" s="70">
        <f>IF(ISNUMBER(C8)=FALSE,"",SUM('Upis rezultata A sektora'!F12,'Upis rezultata B sektora'!F12,'Upis rezultata C sektora'!F12,'Upis rezultata D sektora'!F12,'Upis rezultata E sektora'!F12))</f>
        <v>9860</v>
      </c>
      <c r="I8" s="70">
        <f>IF(ISNUMBER(C8)=FALSE,"",MAX('Upis rezultata A sektora'!F12,'Upis rezultata B sektora'!F12,'Upis rezultata C sektora'!F12,'Upis rezultata D sektora'!F12,'Upis rezultata E sektora'!F12))</f>
        <v>2800</v>
      </c>
      <c r="J8" s="70">
        <f>IF(ISNUMBER(C8)=FALSE,"",RANK(K8,$K$6:$K$17,1))</f>
        <v>3</v>
      </c>
      <c r="K8" s="55">
        <f>IF(ISNUMBER(C8)=FALSE,"",C8-H8/100000-I8/1000000000)</f>
        <v>27.901397199999998</v>
      </c>
      <c r="L8" s="53"/>
      <c r="N8" s="53"/>
      <c r="O8" s="53"/>
      <c r="P8" s="53"/>
    </row>
    <row r="9" spans="1:16" s="49" customFormat="1" ht="12.75" hidden="1">
      <c r="A9" s="53">
        <v>3</v>
      </c>
      <c r="B9" s="49" t="str">
        <f>IF(ISBLANK('Prijava ekipa i izvlačenje br.'!C4)=TRUE,"",'Prijava ekipa i izvlačenje br.'!C4)</f>
        <v>Rak Rakitje</v>
      </c>
      <c r="C9" s="53">
        <f>IF(ISNUMBER('Upis rezultata A sektora'!B4)=FALSE,"",SUM('Upis rezultata A sektora'!B4,'Upis rezultata B sektora'!B4,'Upis rezultata C sektora'!B4,'Upis rezultata D sektora'!B4,'Upis rezultata E sektora'!B4))</f>
        <v>29.5</v>
      </c>
      <c r="D9" s="53">
        <f>IF(ISNUMBER(C9)=FALSE,"",IF(((C9)/5)=(COUNTA(B$6:B$17)-COUNTIF(B$6:B$17,"")+1),"",SUM('Upis rezultata A sektora'!F4,'Upis rezultata B sektora'!F4,'Upis rezultata C sektora'!F4,'Upis rezultata D sektora'!F4,'Upis rezultata E sektora'!F4)))</f>
        <v>12682</v>
      </c>
      <c r="E9" s="53">
        <f>IF(ISNUMBER(C9)=FALSE,"",IF(((C9)/5)=(COUNTA(B$6:B$17)-COUNTIF(B$6:B$17,"")+1),"",MAX('Upis rezultata A sektora'!F4,'Upis rezultata B sektora'!F4,'Upis rezultata C sektora'!F4,'Upis rezultata D sektora'!F4,'Upis rezultata E sektora'!F4)))</f>
        <v>4740</v>
      </c>
      <c r="F9" s="54">
        <f>IF(ISNUMBER(C9)=FALSE,"",IF(((C9)/5)=(COUNTA(B$6:B$17)-COUNTIF(B$6:B$17,"")+1),(COUNTA(B$6:B$17)-COUNTIF(B$6:B$17,"")+1),J9))</f>
        <v>4</v>
      </c>
      <c r="G9" s="70">
        <f>VLOOKUP(B9,'Upis rezultata A sektora'!$D$2:$G$13,4,FALSE)</f>
        <v>3</v>
      </c>
      <c r="H9" s="70">
        <f>IF(ISNUMBER(C9)=FALSE,"",SUM('Upis rezultata A sektora'!F4,'Upis rezultata B sektora'!F4,'Upis rezultata C sektora'!F4,'Upis rezultata D sektora'!F4,'Upis rezultata E sektora'!F4))</f>
        <v>12682</v>
      </c>
      <c r="I9" s="70">
        <f>IF(ISNUMBER(C9)=FALSE,"",MAX('Upis rezultata A sektora'!F4,'Upis rezultata B sektora'!F4,'Upis rezultata C sektora'!F4,'Upis rezultata D sektora'!F4,'Upis rezultata E sektora'!F4))</f>
        <v>4740</v>
      </c>
      <c r="J9" s="70">
        <f>IF(ISNUMBER(C9)=FALSE,"",RANK(K9,$K$6:$K$17,1))</f>
        <v>4</v>
      </c>
      <c r="K9" s="55">
        <f>IF(ISNUMBER(C9)=FALSE,"",C9-H9/100000-I9/1000000000)</f>
        <v>29.37317526</v>
      </c>
      <c r="L9" s="53"/>
      <c r="N9" s="53"/>
      <c r="O9" s="53"/>
      <c r="P9" s="53"/>
    </row>
    <row r="10" spans="1:16" s="49" customFormat="1" ht="12.75" hidden="1">
      <c r="A10" s="53">
        <v>10</v>
      </c>
      <c r="B10" s="49" t="str">
        <f>IF(ISBLANK('Prijava ekipa i izvlačenje br.'!C11)=TRUE,"",'Prijava ekipa i izvlačenje br.'!C11)</f>
        <v>TPK Zagreb</v>
      </c>
      <c r="C10" s="53">
        <f>IF(ISNUMBER('Upis rezultata A sektora'!B11)=FALSE,"",SUM('Upis rezultata A sektora'!B11,'Upis rezultata B sektora'!B11,'Upis rezultata C sektora'!B11,'Upis rezultata D sektora'!B11,'Upis rezultata E sektora'!B11))</f>
        <v>30</v>
      </c>
      <c r="D10" s="53">
        <f>IF(ISNUMBER(C10)=FALSE,"",IF(((C10)/5)=(COUNTA(B$6:B$17)-COUNTIF(B$6:B$17,"")+1),"",SUM('Upis rezultata A sektora'!F11,'Upis rezultata B sektora'!F11,'Upis rezultata C sektora'!F11,'Upis rezultata D sektora'!F11,'Upis rezultata E sektora'!F11)))</f>
        <v>8825</v>
      </c>
      <c r="E10" s="53">
        <f>IF(ISNUMBER(C10)=FALSE,"",IF(((C10)/5)=(COUNTA(B$6:B$17)-COUNTIF(B$6:B$17,"")+1),"",MAX('Upis rezultata A sektora'!F11,'Upis rezultata B sektora'!F11,'Upis rezultata C sektora'!F11,'Upis rezultata D sektora'!F11,'Upis rezultata E sektora'!F11)))</f>
        <v>1765</v>
      </c>
      <c r="F10" s="54">
        <f>IF(ISNUMBER(C10)=FALSE,"",IF(((C10)/5)=(COUNTA(B$6:B$17)-COUNTIF(B$6:B$17,"")+1),(COUNTA(B$6:B$17)-COUNTIF(B$6:B$17,"")+1),J10))</f>
        <v>5</v>
      </c>
      <c r="G10" s="70">
        <f>VLOOKUP(B10,'Upis rezultata A sektora'!$D$2:$G$13,4,FALSE)</f>
        <v>10</v>
      </c>
      <c r="H10" s="70">
        <f>IF(ISNUMBER(C10)=FALSE,"",SUM('Upis rezultata A sektora'!F11,'Upis rezultata B sektora'!F11,'Upis rezultata C sektora'!F11,'Upis rezultata D sektora'!F11,'Upis rezultata E sektora'!F11))</f>
        <v>8825</v>
      </c>
      <c r="I10" s="70">
        <f>IF(ISNUMBER(C10)=FALSE,"",MAX('Upis rezultata A sektora'!F11,'Upis rezultata B sektora'!F11,'Upis rezultata C sektora'!F11,'Upis rezultata D sektora'!F11,'Upis rezultata E sektora'!F11))</f>
        <v>1765</v>
      </c>
      <c r="J10" s="70">
        <f>IF(ISNUMBER(C10)=FALSE,"",RANK(K10,$K$6:$K$17,1))</f>
        <v>5</v>
      </c>
      <c r="K10" s="55">
        <f>IF(ISNUMBER(C10)=FALSE,"",C10-H10/100000-I10/1000000000)</f>
        <v>29.911748235</v>
      </c>
      <c r="L10" s="53"/>
      <c r="N10" s="53"/>
      <c r="O10" s="53"/>
      <c r="P10" s="53"/>
    </row>
    <row r="11" spans="1:16" s="49" customFormat="1" ht="12.75" hidden="1">
      <c r="A11" s="53">
        <v>2</v>
      </c>
      <c r="B11" s="49" t="str">
        <f>IF(ISBLANK('Prijava ekipa i izvlačenje br.'!C3)=TRUE,"",'Prijava ekipa i izvlačenje br.'!C3)</f>
        <v>Štuka Torčec</v>
      </c>
      <c r="C11" s="53">
        <f>IF(ISNUMBER('Upis rezultata A sektora'!B3)=FALSE,"",SUM('Upis rezultata A sektora'!B3,'Upis rezultata B sektora'!B3,'Upis rezultata C sektora'!B3,'Upis rezultata D sektora'!B3,'Upis rezultata E sektora'!B3))</f>
        <v>36</v>
      </c>
      <c r="D11" s="53">
        <f>IF(ISNUMBER(C11)=FALSE,"",IF(((C11)/5)=(COUNTA(B$6:B$17)-COUNTIF(B$6:B$17,"")+1),"",SUM('Upis rezultata A sektora'!F3,'Upis rezultata B sektora'!F3,'Upis rezultata C sektora'!F3,'Upis rezultata D sektora'!F3,'Upis rezultata E sektora'!F3)))</f>
        <v>10268</v>
      </c>
      <c r="E11" s="53">
        <f>IF(ISNUMBER(C11)=FALSE,"",IF(((C11)/5)=(COUNTA(B$6:B$17)-COUNTIF(B$6:B$17,"")+1),"",MAX('Upis rezultata A sektora'!F3,'Upis rezultata B sektora'!F3,'Upis rezultata C sektora'!F3,'Upis rezultata D sektora'!F3,'Upis rezultata E sektora'!F3)))</f>
        <v>4235</v>
      </c>
      <c r="F11" s="54">
        <f>IF(ISNUMBER(C11)=FALSE,"",IF(((C11)/5)=(COUNTA(B$6:B$17)-COUNTIF(B$6:B$17,"")+1),(COUNTA(B$6:B$17)-COUNTIF(B$6:B$17,"")+1),J11))</f>
        <v>6</v>
      </c>
      <c r="G11" s="70">
        <f>VLOOKUP(B11,'Upis rezultata A sektora'!$D$2:$G$13,4,FALSE)</f>
        <v>2</v>
      </c>
      <c r="H11" s="70">
        <f>IF(ISNUMBER(C11)=FALSE,"",SUM('Upis rezultata A sektora'!F3,'Upis rezultata B sektora'!F3,'Upis rezultata C sektora'!F3,'Upis rezultata D sektora'!F3,'Upis rezultata E sektora'!F3))</f>
        <v>10268</v>
      </c>
      <c r="I11" s="70">
        <f>IF(ISNUMBER(C11)=FALSE,"",MAX('Upis rezultata A sektora'!F3,'Upis rezultata B sektora'!F3,'Upis rezultata C sektora'!F3,'Upis rezultata D sektora'!F3,'Upis rezultata E sektora'!F3))</f>
        <v>4235</v>
      </c>
      <c r="J11" s="70">
        <f>IF(ISNUMBER(C11)=FALSE,"",RANK(K11,$K$6:$K$17,1))</f>
        <v>6</v>
      </c>
      <c r="K11" s="55">
        <f>IF(ISNUMBER(C11)=FALSE,"",C11-H11/100000-I11/1000000000)</f>
        <v>35.897315765</v>
      </c>
      <c r="L11" s="53"/>
      <c r="N11" s="53"/>
      <c r="O11" s="53"/>
      <c r="P11" s="53"/>
    </row>
    <row r="12" spans="1:16" s="49" customFormat="1" ht="12.75" hidden="1">
      <c r="A12" s="53">
        <v>6</v>
      </c>
      <c r="B12" s="49" t="str">
        <f>IF(ISBLANK('Prijava ekipa i izvlačenje br.'!C7)=TRUE,"",'Prijava ekipa i izvlačenje br.'!C7)</f>
        <v>Azzuro Varaždin</v>
      </c>
      <c r="C12" s="53">
        <f>IF(ISNUMBER('Upis rezultata A sektora'!B7)=FALSE,"",SUM('Upis rezultata A sektora'!B7,'Upis rezultata B sektora'!B7,'Upis rezultata C sektora'!B7,'Upis rezultata D sektora'!B7,'Upis rezultata E sektora'!B7))</f>
        <v>36</v>
      </c>
      <c r="D12" s="53">
        <f>IF(ISNUMBER(C12)=FALSE,"",IF(((C12)/5)=(COUNTA(B$6:B$17)-COUNTIF(B$6:B$17,"")+1),"",SUM('Upis rezultata A sektora'!F7,'Upis rezultata B sektora'!F7,'Upis rezultata C sektora'!F7,'Upis rezultata D sektora'!F7,'Upis rezultata E sektora'!F7)))</f>
        <v>7908</v>
      </c>
      <c r="E12" s="53">
        <f>IF(ISNUMBER(C12)=FALSE,"",IF(((C12)/5)=(COUNTA(B$6:B$17)-COUNTIF(B$6:B$17,"")+1),"",MAX('Upis rezultata A sektora'!F7,'Upis rezultata B sektora'!F7,'Upis rezultata C sektora'!F7,'Upis rezultata D sektora'!F7,'Upis rezultata E sektora'!F7)))</f>
        <v>2105</v>
      </c>
      <c r="F12" s="54">
        <f>IF(ISNUMBER(C12)=FALSE,"",IF(((C12)/5)=(COUNTA(B$6:B$17)-COUNTIF(B$6:B$17,"")+1),(COUNTA(B$6:B$17)-COUNTIF(B$6:B$17,"")+1),J12))</f>
        <v>7</v>
      </c>
      <c r="G12" s="70">
        <f>VLOOKUP(B12,'Upis rezultata A sektora'!$D$2:$G$13,4,FALSE)</f>
        <v>6</v>
      </c>
      <c r="H12" s="70">
        <f>IF(ISNUMBER(C12)=FALSE,"",SUM('Upis rezultata A sektora'!F7,'Upis rezultata B sektora'!F7,'Upis rezultata C sektora'!F7,'Upis rezultata D sektora'!F7,'Upis rezultata E sektora'!F7))</f>
        <v>7908</v>
      </c>
      <c r="I12" s="70">
        <f>IF(ISNUMBER(C12)=FALSE,"",MAX('Upis rezultata A sektora'!F7,'Upis rezultata B sektora'!F7,'Upis rezultata C sektora'!F7,'Upis rezultata D sektora'!F7,'Upis rezultata E sektora'!F7))</f>
        <v>2105</v>
      </c>
      <c r="J12" s="70">
        <f>IF(ISNUMBER(C12)=FALSE,"",RANK(K12,$K$6:$K$17,1))</f>
        <v>7</v>
      </c>
      <c r="K12" s="55">
        <f>IF(ISNUMBER(C12)=FALSE,"",C12-H12/100000-I12/1000000000)</f>
        <v>35.920917895</v>
      </c>
      <c r="L12" s="53"/>
      <c r="N12" s="53"/>
      <c r="O12" s="53"/>
      <c r="P12" s="53"/>
    </row>
    <row r="13" spans="1:16" s="49" customFormat="1" ht="12.75" hidden="1">
      <c r="A13" s="53">
        <v>7</v>
      </c>
      <c r="B13" s="49" t="str">
        <f>IF(ISBLANK('Prijava ekipa i izvlačenje br.'!C8)=TRUE,"",'Prijava ekipa i izvlačenje br.'!C8)</f>
        <v>Trnje-ŠR Zagreb</v>
      </c>
      <c r="C13" s="53">
        <f>IF(ISNUMBER('Upis rezultata A sektora'!B8)=FALSE,"",SUM('Upis rezultata A sektora'!B8,'Upis rezultata B sektora'!B8,'Upis rezultata C sektora'!B8,'Upis rezultata D sektora'!B8,'Upis rezultata E sektora'!B8))</f>
        <v>36.5</v>
      </c>
      <c r="D13" s="53">
        <f>IF(ISNUMBER(C13)=FALSE,"",IF(((C13)/5)=(COUNTA(B$6:B$17)-COUNTIF(B$6:B$17,"")+1),"",SUM('Upis rezultata A sektora'!F8,'Upis rezultata B sektora'!F8,'Upis rezultata C sektora'!F8,'Upis rezultata D sektora'!F8,'Upis rezultata E sektora'!F8)))</f>
        <v>7442</v>
      </c>
      <c r="E13" s="53">
        <f>IF(ISNUMBER(C13)=FALSE,"",IF(((C13)/5)=(COUNTA(B$6:B$17)-COUNTIF(B$6:B$17,"")+1),"",MAX('Upis rezultata A sektora'!F8,'Upis rezultata B sektora'!F8,'Upis rezultata C sektora'!F8,'Upis rezultata D sektora'!F8,'Upis rezultata E sektora'!F8)))</f>
        <v>1895</v>
      </c>
      <c r="F13" s="54">
        <f>IF(ISNUMBER(C13)=FALSE,"",IF(((C13)/5)=(COUNTA(B$6:B$17)-COUNTIF(B$6:B$17,"")+1),(COUNTA(B$6:B$17)-COUNTIF(B$6:B$17,"")+1),J13))</f>
        <v>8</v>
      </c>
      <c r="G13" s="70">
        <f>VLOOKUP(B13,'Upis rezultata A sektora'!$D$2:$G$13,4,FALSE)</f>
        <v>7</v>
      </c>
      <c r="H13" s="70">
        <f>IF(ISNUMBER(C13)=FALSE,"",SUM('Upis rezultata A sektora'!F8,'Upis rezultata B sektora'!F8,'Upis rezultata C sektora'!F8,'Upis rezultata D sektora'!F8,'Upis rezultata E sektora'!F8))</f>
        <v>7442</v>
      </c>
      <c r="I13" s="70">
        <f>IF(ISNUMBER(C13)=FALSE,"",MAX('Upis rezultata A sektora'!F8,'Upis rezultata B sektora'!F8,'Upis rezultata C sektora'!F8,'Upis rezultata D sektora'!F8,'Upis rezultata E sektora'!F8))</f>
        <v>1895</v>
      </c>
      <c r="J13" s="70">
        <f>IF(ISNUMBER(C13)=FALSE,"",RANK(K13,$K$6:$K$17,1))</f>
        <v>8</v>
      </c>
      <c r="K13" s="55">
        <f>IF(ISNUMBER(C13)=FALSE,"",C13-H13/100000-I13/1000000000)</f>
        <v>36.425578105</v>
      </c>
      <c r="L13" s="53"/>
      <c r="N13" s="53"/>
      <c r="O13" s="53"/>
      <c r="P13" s="53"/>
    </row>
    <row r="14" spans="1:16" s="49" customFormat="1" ht="12.75" hidden="1">
      <c r="A14" s="53">
        <v>9</v>
      </c>
      <c r="B14" s="49" t="str">
        <f>IF(ISBLANK('Prijava ekipa i izvlačenje br.'!C10)=TRUE,"",'Prijava ekipa i izvlačenje br.'!C10)</f>
        <v>Bjelka GME Sunja</v>
      </c>
      <c r="C14" s="53">
        <f>IF(ISNUMBER('Upis rezultata A sektora'!B10)=FALSE,"",SUM('Upis rezultata A sektora'!B10,'Upis rezultata B sektora'!B10,'Upis rezultata C sektora'!B10,'Upis rezultata D sektora'!B10,'Upis rezultata E sektora'!B10))</f>
        <v>39.5</v>
      </c>
      <c r="D14" s="53">
        <f>IF(ISNUMBER(C14)=FALSE,"",IF(((C14)/5)=(COUNTA(B$6:B$17)-COUNTIF(B$6:B$17,"")+1),"",SUM('Upis rezultata A sektora'!F10,'Upis rezultata B sektora'!F10,'Upis rezultata C sektora'!F10,'Upis rezultata D sektora'!F10,'Upis rezultata E sektora'!F10)))</f>
        <v>6485</v>
      </c>
      <c r="E14" s="53">
        <f>IF(ISNUMBER(C14)=FALSE,"",IF(((C14)/5)=(COUNTA(B$6:B$17)-COUNTIF(B$6:B$17,"")+1),"",MAX('Upis rezultata A sektora'!F10,'Upis rezultata B sektora'!F10,'Upis rezultata C sektora'!F10,'Upis rezultata D sektora'!F10,'Upis rezultata E sektora'!F10)))</f>
        <v>1790</v>
      </c>
      <c r="F14" s="54">
        <f>IF(ISNUMBER(C14)=FALSE,"",IF(((C14)/5)=(COUNTA(B$6:B$17)-COUNTIF(B$6:B$17,"")+1),(COUNTA(B$6:B$17)-COUNTIF(B$6:B$17,"")+1),J14))</f>
        <v>9</v>
      </c>
      <c r="G14" s="70">
        <f>VLOOKUP(B14,'Upis rezultata A sektora'!$D$2:$G$13,4,FALSE)</f>
        <v>9</v>
      </c>
      <c r="H14" s="70">
        <f>IF(ISNUMBER(C14)=FALSE,"",SUM('Upis rezultata A sektora'!F10,'Upis rezultata B sektora'!F10,'Upis rezultata C sektora'!F10,'Upis rezultata D sektora'!F10,'Upis rezultata E sektora'!F10))</f>
        <v>6485</v>
      </c>
      <c r="I14" s="70">
        <f>IF(ISNUMBER(C14)=FALSE,"",MAX('Upis rezultata A sektora'!F10,'Upis rezultata B sektora'!F10,'Upis rezultata C sektora'!F10,'Upis rezultata D sektora'!F10,'Upis rezultata E sektora'!F10))</f>
        <v>1790</v>
      </c>
      <c r="J14" s="70">
        <f>IF(ISNUMBER(C14)=FALSE,"",RANK(K14,$K$6:$K$17,1))</f>
        <v>9</v>
      </c>
      <c r="K14" s="55">
        <f>IF(ISNUMBER(C14)=FALSE,"",C14-H14/100000-I14/1000000000)</f>
        <v>39.43514821</v>
      </c>
      <c r="L14" s="53"/>
      <c r="N14" s="53"/>
      <c r="O14" s="53"/>
      <c r="P14" s="53"/>
    </row>
    <row r="15" spans="1:16" s="49" customFormat="1" ht="12.75" hidden="1">
      <c r="A15" s="53">
        <v>8</v>
      </c>
      <c r="B15" s="49" t="str">
        <f>IF(ISBLANK('Prijava ekipa i izvlačenje br.'!C9)=TRUE,"",'Prijava ekipa i izvlačenje br.'!C9)</f>
        <v>Klen N.Gradiška</v>
      </c>
      <c r="C15" s="53">
        <f>IF(ISNUMBER('Upis rezultata A sektora'!B9)=FALSE,"",SUM('Upis rezultata A sektora'!B9,'Upis rezultata B sektora'!B9,'Upis rezultata C sektora'!B9,'Upis rezultata D sektora'!B9,'Upis rezultata E sektora'!B9))</f>
        <v>42</v>
      </c>
      <c r="D15" s="53">
        <f>IF(ISNUMBER(C15)=FALSE,"",IF(((C15)/5)=(COUNTA(B$6:B$17)-COUNTIF(B$6:B$17,"")+1),"",SUM('Upis rezultata A sektora'!F9,'Upis rezultata B sektora'!F9,'Upis rezultata C sektora'!F9,'Upis rezultata D sektora'!F9,'Upis rezultata E sektora'!F9)))</f>
        <v>6380</v>
      </c>
      <c r="E15" s="53">
        <f>IF(ISNUMBER(C15)=FALSE,"",IF(((C15)/5)=(COUNTA(B$6:B$17)-COUNTIF(B$6:B$17,"")+1),"",MAX('Upis rezultata A sektora'!F9,'Upis rezultata B sektora'!F9,'Upis rezultata C sektora'!F9,'Upis rezultata D sektora'!F9,'Upis rezultata E sektora'!F9)))</f>
        <v>1953</v>
      </c>
      <c r="F15" s="54">
        <f>IF(ISNUMBER(C15)=FALSE,"",IF(((C15)/5)=(COUNTA(B$6:B$17)-COUNTIF(B$6:B$17,"")+1),(COUNTA(B$6:B$17)-COUNTIF(B$6:B$17,"")+1),J15))</f>
        <v>10</v>
      </c>
      <c r="G15" s="70">
        <f>VLOOKUP(B15,'Upis rezultata A sektora'!$D$2:$G$13,4,FALSE)</f>
        <v>8</v>
      </c>
      <c r="H15" s="70">
        <f>IF(ISNUMBER(C15)=FALSE,"",SUM('Upis rezultata A sektora'!F9,'Upis rezultata B sektora'!F9,'Upis rezultata C sektora'!F9,'Upis rezultata D sektora'!F9,'Upis rezultata E sektora'!F9))</f>
        <v>6380</v>
      </c>
      <c r="I15" s="70">
        <f>IF(ISNUMBER(C15)=FALSE,"",MAX('Upis rezultata A sektora'!F9,'Upis rezultata B sektora'!F9,'Upis rezultata C sektora'!F9,'Upis rezultata D sektora'!F9,'Upis rezultata E sektora'!F9))</f>
        <v>1953</v>
      </c>
      <c r="J15" s="70">
        <f>IF(ISNUMBER(C15)=FALSE,"",RANK(K15,$K$6:$K$17,1))</f>
        <v>10</v>
      </c>
      <c r="K15" s="55">
        <f>IF(ISNUMBER(C15)=FALSE,"",C15-H15/100000-I15/1000000000)</f>
        <v>41.936198047</v>
      </c>
      <c r="L15" s="53"/>
      <c r="N15" s="53"/>
      <c r="O15" s="53"/>
      <c r="P15" s="53"/>
    </row>
    <row r="16" spans="1:16" s="49" customFormat="1" ht="12.75" hidden="1">
      <c r="A16" s="53">
        <v>5</v>
      </c>
      <c r="B16" s="49" t="str">
        <f>IF(ISBLANK('Prijava ekipa i izvlačenje br.'!C6)=TRUE,"",'Prijava ekipa i izvlačenje br.'!C6)</f>
        <v>Varaždin Varaždin</v>
      </c>
      <c r="C16" s="53">
        <f>IF(ISNUMBER('Upis rezultata A sektora'!B6)=FALSE,"",SUM('Upis rezultata A sektora'!B6,'Upis rezultata B sektora'!B6,'Upis rezultata C sektora'!B6,'Upis rezultata D sektora'!B6,'Upis rezultata E sektora'!B6))</f>
        <v>44.5</v>
      </c>
      <c r="D16" s="53">
        <f>IF(ISNUMBER(C16)=FALSE,"",IF(((C16)/5)=(COUNTA(B$6:B$17)-COUNTIF(B$6:B$17,"")+1),"",SUM('Upis rezultata A sektora'!F6,'Upis rezultata B sektora'!F6,'Upis rezultata C sektora'!F6,'Upis rezultata D sektora'!F6,'Upis rezultata E sektora'!F6)))</f>
        <v>7434</v>
      </c>
      <c r="E16" s="53">
        <f>IF(ISNUMBER(C16)=FALSE,"",IF(((C16)/5)=(COUNTA(B$6:B$17)-COUNTIF(B$6:B$17,"")+1),"",MAX('Upis rezultata A sektora'!F6,'Upis rezultata B sektora'!F6,'Upis rezultata C sektora'!F6,'Upis rezultata D sektora'!F6,'Upis rezultata E sektora'!F6)))</f>
        <v>3700</v>
      </c>
      <c r="F16" s="54">
        <f>IF(ISNUMBER(C16)=FALSE,"",IF(((C16)/5)=(COUNTA(B$6:B$17)-COUNTIF(B$6:B$17,"")+1),(COUNTA(B$6:B$17)-COUNTIF(B$6:B$17,"")+1),J16))</f>
        <v>11</v>
      </c>
      <c r="G16" s="70">
        <f>VLOOKUP(B16,'Upis rezultata A sektora'!$D$2:$G$13,4,FALSE)</f>
        <v>5</v>
      </c>
      <c r="H16" s="70">
        <f>IF(ISNUMBER(C16)=FALSE,"",SUM('Upis rezultata A sektora'!F6,'Upis rezultata B sektora'!F6,'Upis rezultata C sektora'!F6,'Upis rezultata D sektora'!F6,'Upis rezultata E sektora'!F6))</f>
        <v>7434</v>
      </c>
      <c r="I16" s="70">
        <f>IF(ISNUMBER(C16)=FALSE,"",MAX('Upis rezultata A sektora'!F6,'Upis rezultata B sektora'!F6,'Upis rezultata C sektora'!F6,'Upis rezultata D sektora'!F6,'Upis rezultata E sektora'!F6))</f>
        <v>3700</v>
      </c>
      <c r="J16" s="70">
        <f>IF(ISNUMBER(C16)=FALSE,"",RANK(K16,$K$6:$K$17,1))</f>
        <v>11</v>
      </c>
      <c r="K16" s="55">
        <f>IF(ISNUMBER(C16)=FALSE,"",C16-H16/100000-I16/1000000000)</f>
        <v>44.4256563</v>
      </c>
      <c r="L16" s="53"/>
      <c r="N16" s="53"/>
      <c r="O16" s="53"/>
      <c r="P16" s="53"/>
    </row>
    <row r="17" spans="1:16" s="49" customFormat="1" ht="12.75" hidden="1">
      <c r="A17" s="53">
        <v>4</v>
      </c>
      <c r="B17" s="49" t="str">
        <f>IF(ISBLANK('Prijava ekipa i izvlačenje br.'!C5)=TRUE,"",'Prijava ekipa i izvlačenje br.'!C5)</f>
        <v>Bjelovar Bjelovar</v>
      </c>
      <c r="C17" s="53">
        <f>IF(ISNUMBER('Upis rezultata A sektora'!B5)=FALSE,"",SUM('Upis rezultata A sektora'!B5,'Upis rezultata B sektora'!B5,'Upis rezultata C sektora'!B5,'Upis rezultata D sektora'!B5,'Upis rezultata E sektora'!B5))</f>
        <v>46</v>
      </c>
      <c r="D17" s="53">
        <f>IF(ISNUMBER(C17)=FALSE,"",IF(((C17)/5)=(COUNTA(B$6:B$17)-COUNTIF(B$6:B$17,"")+1),"",SUM('Upis rezultata A sektora'!F5,'Upis rezultata B sektora'!F5,'Upis rezultata C sektora'!F5,'Upis rezultata D sektora'!F5,'Upis rezultata E sektora'!F5)))</f>
        <v>6476</v>
      </c>
      <c r="E17" s="53">
        <f>IF(ISNUMBER(C17)=FALSE,"",IF(((C17)/5)=(COUNTA(B$6:B$17)-COUNTIF(B$6:B$17,"")+1),"",MAX('Upis rezultata A sektora'!F5,'Upis rezultata B sektora'!F5,'Upis rezultata C sektora'!F5,'Upis rezultata D sektora'!F5,'Upis rezultata E sektora'!F5)))</f>
        <v>2320</v>
      </c>
      <c r="F17" s="54">
        <f>IF(ISNUMBER(C17)=FALSE,"",IF(((C17)/5)=(COUNTA(B$6:B$17)-COUNTIF(B$6:B$17,"")+1),(COUNTA(B$6:B$17)-COUNTIF(B$6:B$17,"")+1),J17))</f>
        <v>12</v>
      </c>
      <c r="G17" s="70">
        <f>VLOOKUP(B17,'Upis rezultata A sektora'!$D$2:$G$13,4,FALSE)</f>
        <v>4</v>
      </c>
      <c r="H17" s="70">
        <f>IF(ISNUMBER(C17)=FALSE,"",SUM('Upis rezultata A sektora'!F5,'Upis rezultata B sektora'!F5,'Upis rezultata C sektora'!F5,'Upis rezultata D sektora'!F5,'Upis rezultata E sektora'!F5))</f>
        <v>6476</v>
      </c>
      <c r="I17" s="70">
        <f>IF(ISNUMBER(C17)=FALSE,"",MAX('Upis rezultata A sektora'!F5,'Upis rezultata B sektora'!F5,'Upis rezultata C sektora'!F5,'Upis rezultata D sektora'!F5,'Upis rezultata E sektora'!F5))</f>
        <v>2320</v>
      </c>
      <c r="J17" s="70">
        <f>IF(ISNUMBER(C17)=FALSE,"",RANK(K17,$K$6:$K$17,1))</f>
        <v>12</v>
      </c>
      <c r="K17" s="55">
        <f>IF(ISNUMBER(C17)=FALSE,"",C17-H17/100000-I17/1000000000)</f>
        <v>45.93523768</v>
      </c>
      <c r="L17" s="53"/>
      <c r="N17" s="53"/>
      <c r="O17" s="53"/>
      <c r="P17" s="53"/>
    </row>
    <row r="18" spans="1:16" s="49" customFormat="1" ht="12.75" hidden="1">
      <c r="A18" s="53"/>
      <c r="C18" s="53"/>
      <c r="D18" s="53"/>
      <c r="E18" s="53"/>
      <c r="F18" s="53"/>
      <c r="G18" s="53"/>
      <c r="H18" s="53"/>
      <c r="I18" s="53"/>
      <c r="J18" s="53"/>
      <c r="K18" s="53"/>
      <c r="L18" s="53"/>
      <c r="M18" s="55"/>
      <c r="N18" s="53"/>
      <c r="O18" s="53"/>
      <c r="P18" s="53"/>
    </row>
    <row r="19" spans="1:16" s="49" customFormat="1" ht="12.75" hidden="1">
      <c r="A19" s="53"/>
      <c r="C19" s="53"/>
      <c r="D19" s="53"/>
      <c r="E19" s="53"/>
      <c r="F19" s="53"/>
      <c r="G19" s="53"/>
      <c r="H19" s="53"/>
      <c r="I19" s="53"/>
      <c r="J19" s="53"/>
      <c r="K19" s="53"/>
      <c r="L19" s="53"/>
      <c r="M19" s="55"/>
      <c r="N19" s="53"/>
      <c r="O19" s="53"/>
      <c r="P19" s="53"/>
    </row>
    <row r="20" spans="1:16" s="49" customFormat="1" ht="12.75" hidden="1">
      <c r="A20" s="53"/>
      <c r="C20" s="53"/>
      <c r="D20" s="53"/>
      <c r="E20" s="53"/>
      <c r="F20" s="53"/>
      <c r="G20" s="53"/>
      <c r="H20" s="53"/>
      <c r="I20" s="53"/>
      <c r="J20" s="53"/>
      <c r="K20" s="53"/>
      <c r="L20" s="53"/>
      <c r="M20" s="55"/>
      <c r="N20" s="53"/>
      <c r="O20" s="53"/>
      <c r="P20" s="53"/>
    </row>
    <row r="21" spans="1:16" s="49" customFormat="1" ht="12.75" hidden="1">
      <c r="A21" s="53"/>
      <c r="C21" s="53"/>
      <c r="D21" s="53"/>
      <c r="E21" s="53"/>
      <c r="F21" s="53"/>
      <c r="G21" s="53"/>
      <c r="H21" s="53"/>
      <c r="I21" s="53"/>
      <c r="J21" s="53"/>
      <c r="K21" s="53"/>
      <c r="L21" s="53"/>
      <c r="M21" s="55"/>
      <c r="N21" s="53"/>
      <c r="O21" s="53"/>
      <c r="P21" s="53"/>
    </row>
    <row r="22" spans="1:16" s="49" customFormat="1" ht="12.75" hidden="1">
      <c r="A22" s="53"/>
      <c r="C22" s="53"/>
      <c r="D22" s="53"/>
      <c r="E22" s="53"/>
      <c r="F22" s="53"/>
      <c r="G22" s="53"/>
      <c r="H22" s="53"/>
      <c r="I22" s="53"/>
      <c r="J22" s="53"/>
      <c r="K22" s="53"/>
      <c r="L22" s="53"/>
      <c r="M22" s="55"/>
      <c r="N22" s="53"/>
      <c r="O22" s="53"/>
      <c r="P22" s="53"/>
    </row>
    <row r="23" spans="1:16" s="49" customFormat="1" ht="12.75" hidden="1">
      <c r="A23" s="53"/>
      <c r="C23" s="53"/>
      <c r="D23" s="53"/>
      <c r="E23" s="53"/>
      <c r="F23" s="53"/>
      <c r="G23" s="53"/>
      <c r="H23" s="53"/>
      <c r="I23" s="53"/>
      <c r="J23" s="53"/>
      <c r="K23" s="53"/>
      <c r="L23" s="53"/>
      <c r="M23" s="55"/>
      <c r="N23" s="53"/>
      <c r="O23" s="53"/>
      <c r="P23" s="53"/>
    </row>
    <row r="24" spans="1:10" s="49" customFormat="1" ht="12.75" hidden="1">
      <c r="A24" s="53"/>
      <c r="C24" s="53"/>
      <c r="D24" s="55"/>
      <c r="E24" s="53"/>
      <c r="F24" s="53"/>
      <c r="G24" s="53"/>
      <c r="H24" s="53"/>
      <c r="I24" s="53"/>
      <c r="J24" s="53"/>
    </row>
    <row r="25" spans="1:10" s="49" customFormat="1" ht="12.75" hidden="1">
      <c r="A25" s="53"/>
      <c r="C25" s="53"/>
      <c r="D25" s="55"/>
      <c r="E25" s="53"/>
      <c r="F25" s="53"/>
      <c r="G25" s="53"/>
      <c r="H25" s="53"/>
      <c r="I25" s="53"/>
      <c r="J25" s="53"/>
    </row>
    <row r="26" spans="1:10" s="49" customFormat="1" ht="12.75" hidden="1">
      <c r="A26" s="53"/>
      <c r="C26" s="53"/>
      <c r="D26" s="55"/>
      <c r="E26" s="53"/>
      <c r="F26" s="53"/>
      <c r="G26" s="53"/>
      <c r="H26" s="53"/>
      <c r="I26" s="53"/>
      <c r="J26" s="53"/>
    </row>
    <row r="27" spans="1:10" s="49" customFormat="1" ht="12.75" hidden="1">
      <c r="A27" s="53"/>
      <c r="C27" s="53"/>
      <c r="D27" s="55"/>
      <c r="E27" s="53"/>
      <c r="F27" s="53"/>
      <c r="G27" s="53"/>
      <c r="H27" s="53"/>
      <c r="I27" s="53"/>
      <c r="J27" s="53"/>
    </row>
    <row r="28" spans="1:10" s="49" customFormat="1" ht="12.75" hidden="1">
      <c r="A28" s="53"/>
      <c r="C28" s="53"/>
      <c r="D28" s="55"/>
      <c r="E28" s="53"/>
      <c r="F28" s="53"/>
      <c r="G28" s="53"/>
      <c r="H28" s="53"/>
      <c r="I28" s="53"/>
      <c r="J28" s="53"/>
    </row>
    <row r="29" spans="1:10" s="49" customFormat="1" ht="12.75" hidden="1">
      <c r="A29" s="53"/>
      <c r="C29" s="53"/>
      <c r="D29" s="55"/>
      <c r="E29" s="53"/>
      <c r="F29" s="53"/>
      <c r="G29" s="53"/>
      <c r="H29" s="53"/>
      <c r="I29" s="53"/>
      <c r="J29" s="53"/>
    </row>
    <row r="30" spans="1:10" s="49" customFormat="1" ht="12.75" hidden="1">
      <c r="A30" s="53"/>
      <c r="C30" s="53"/>
      <c r="D30" s="55"/>
      <c r="E30" s="53"/>
      <c r="F30" s="53"/>
      <c r="G30" s="53"/>
      <c r="H30" s="53"/>
      <c r="I30" s="53"/>
      <c r="J30" s="53"/>
    </row>
    <row r="31" spans="1:10" s="49" customFormat="1" ht="12.75" hidden="1">
      <c r="A31" s="53"/>
      <c r="C31" s="53"/>
      <c r="D31" s="55"/>
      <c r="E31" s="53"/>
      <c r="F31" s="53"/>
      <c r="G31" s="53"/>
      <c r="H31" s="53"/>
      <c r="I31" s="53"/>
      <c r="J31" s="53"/>
    </row>
    <row r="32" spans="1:10" s="49" customFormat="1" ht="12.75" hidden="1">
      <c r="A32" s="53"/>
      <c r="C32" s="53"/>
      <c r="D32" s="55"/>
      <c r="E32" s="53"/>
      <c r="F32" s="53"/>
      <c r="G32" s="53"/>
      <c r="H32" s="53"/>
      <c r="I32" s="53"/>
      <c r="J32" s="53"/>
    </row>
    <row r="33" spans="1:10" s="49" customFormat="1" ht="12.75" hidden="1">
      <c r="A33" s="53"/>
      <c r="C33" s="53"/>
      <c r="D33" s="55"/>
      <c r="E33" s="53"/>
      <c r="F33" s="53"/>
      <c r="G33" s="53"/>
      <c r="H33" s="53"/>
      <c r="I33" s="53"/>
      <c r="J33" s="53"/>
    </row>
    <row r="34" spans="1:10" s="49" customFormat="1" ht="12.75" hidden="1">
      <c r="A34" s="53"/>
      <c r="C34" s="53"/>
      <c r="D34" s="55"/>
      <c r="E34" s="53"/>
      <c r="F34" s="53"/>
      <c r="G34" s="53"/>
      <c r="H34" s="53"/>
      <c r="I34" s="53"/>
      <c r="J34" s="53"/>
    </row>
    <row r="35" spans="1:10" s="49" customFormat="1" ht="12.75" hidden="1">
      <c r="A35" s="53"/>
      <c r="C35" s="53"/>
      <c r="D35" s="55"/>
      <c r="E35" s="53"/>
      <c r="F35" s="53"/>
      <c r="G35" s="53"/>
      <c r="H35" s="53"/>
      <c r="I35" s="53"/>
      <c r="J35" s="53"/>
    </row>
    <row r="36" spans="1:10" s="49" customFormat="1" ht="12.75" hidden="1">
      <c r="A36" s="53"/>
      <c r="C36" s="53"/>
      <c r="D36" s="55"/>
      <c r="E36" s="53"/>
      <c r="F36" s="53"/>
      <c r="G36" s="53"/>
      <c r="H36" s="53"/>
      <c r="I36" s="53"/>
      <c r="J36" s="53"/>
    </row>
    <row r="37" spans="1:10" s="49" customFormat="1" ht="12.75" hidden="1">
      <c r="A37" s="53"/>
      <c r="C37" s="53"/>
      <c r="D37" s="55"/>
      <c r="E37" s="53"/>
      <c r="F37" s="53"/>
      <c r="G37" s="53"/>
      <c r="H37" s="53"/>
      <c r="I37" s="53"/>
      <c r="J37" s="53"/>
    </row>
    <row r="38" spans="1:10" s="49" customFormat="1" ht="12.75" hidden="1">
      <c r="A38" s="53"/>
      <c r="C38" s="53"/>
      <c r="D38" s="55"/>
      <c r="E38" s="53"/>
      <c r="F38" s="53"/>
      <c r="G38" s="53"/>
      <c r="H38" s="53"/>
      <c r="I38" s="53"/>
      <c r="J38" s="53"/>
    </row>
    <row r="39" spans="1:10" s="49" customFormat="1" ht="12.75" hidden="1">
      <c r="A39" s="53"/>
      <c r="C39" s="53"/>
      <c r="D39" s="55"/>
      <c r="E39" s="53"/>
      <c r="F39" s="53"/>
      <c r="G39" s="53"/>
      <c r="H39" s="53"/>
      <c r="I39" s="53"/>
      <c r="J39" s="53"/>
    </row>
    <row r="40" spans="1:10" s="49" customFormat="1" ht="12.75" hidden="1">
      <c r="A40" s="53"/>
      <c r="C40" s="53"/>
      <c r="D40" s="55"/>
      <c r="E40" s="53"/>
      <c r="F40" s="53"/>
      <c r="G40" s="53"/>
      <c r="H40" s="53"/>
      <c r="I40" s="53"/>
      <c r="J40" s="53"/>
    </row>
    <row r="41" spans="1:10" s="49" customFormat="1" ht="12.75" hidden="1">
      <c r="A41" s="53"/>
      <c r="C41" s="53"/>
      <c r="D41" s="55"/>
      <c r="E41" s="53"/>
      <c r="F41" s="53"/>
      <c r="G41" s="53"/>
      <c r="H41" s="53"/>
      <c r="I41" s="53"/>
      <c r="J41" s="53"/>
    </row>
    <row r="42" spans="1:10" s="49" customFormat="1" ht="12.75" hidden="1">
      <c r="A42" s="53"/>
      <c r="C42" s="53"/>
      <c r="D42" s="55"/>
      <c r="E42" s="53"/>
      <c r="F42" s="53"/>
      <c r="G42" s="53"/>
      <c r="H42" s="53"/>
      <c r="I42" s="53"/>
      <c r="J42" s="53"/>
    </row>
    <row r="43" spans="1:10" s="49" customFormat="1" ht="12.75" hidden="1">
      <c r="A43" s="53"/>
      <c r="C43" s="53"/>
      <c r="D43" s="55"/>
      <c r="E43" s="53"/>
      <c r="F43" s="53"/>
      <c r="G43" s="53"/>
      <c r="H43" s="53"/>
      <c r="I43" s="53"/>
      <c r="J43" s="53"/>
    </row>
    <row r="44" spans="1:10" s="49" customFormat="1" ht="12.75" hidden="1">
      <c r="A44" s="53"/>
      <c r="C44" s="53"/>
      <c r="D44" s="55"/>
      <c r="E44" s="53"/>
      <c r="F44" s="53"/>
      <c r="G44" s="53"/>
      <c r="H44" s="53"/>
      <c r="I44" s="53"/>
      <c r="J44" s="53"/>
    </row>
    <row r="45" spans="1:10" s="49" customFormat="1" ht="12.75" hidden="1">
      <c r="A45" s="53"/>
      <c r="C45" s="53"/>
      <c r="D45" s="55"/>
      <c r="E45" s="53"/>
      <c r="F45" s="53"/>
      <c r="G45" s="53"/>
      <c r="H45" s="53"/>
      <c r="I45" s="53"/>
      <c r="J45" s="53"/>
    </row>
    <row r="46" spans="1:10" s="49" customFormat="1" ht="12.75" hidden="1">
      <c r="A46" s="53"/>
      <c r="C46" s="53"/>
      <c r="D46" s="55"/>
      <c r="E46" s="53"/>
      <c r="F46" s="53"/>
      <c r="G46" s="53"/>
      <c r="H46" s="53"/>
      <c r="I46" s="53"/>
      <c r="J46" s="53"/>
    </row>
    <row r="47" spans="1:10" s="49" customFormat="1" ht="12.75" hidden="1">
      <c r="A47" s="53"/>
      <c r="C47" s="53"/>
      <c r="D47" s="55"/>
      <c r="E47" s="53"/>
      <c r="F47" s="53"/>
      <c r="G47" s="53"/>
      <c r="H47" s="53"/>
      <c r="I47" s="53"/>
      <c r="J47" s="53"/>
    </row>
    <row r="48" spans="1:10" s="49" customFormat="1" ht="12.75" hidden="1">
      <c r="A48" s="53"/>
      <c r="C48" s="53"/>
      <c r="D48" s="55"/>
      <c r="E48" s="53"/>
      <c r="F48" s="53"/>
      <c r="G48" s="53"/>
      <c r="H48" s="53"/>
      <c r="I48" s="53"/>
      <c r="J48" s="53"/>
    </row>
    <row r="49" spans="1:10" s="49" customFormat="1" ht="12.75" hidden="1">
      <c r="A49" s="53"/>
      <c r="C49" s="53"/>
      <c r="D49" s="55"/>
      <c r="E49" s="53"/>
      <c r="F49" s="53"/>
      <c r="G49" s="53"/>
      <c r="H49" s="53"/>
      <c r="I49" s="53"/>
      <c r="J49" s="53"/>
    </row>
    <row r="50" spans="1:10" s="49" customFormat="1" ht="12.75" hidden="1">
      <c r="A50" s="53"/>
      <c r="C50" s="53"/>
      <c r="D50" s="55"/>
      <c r="E50" s="53"/>
      <c r="F50" s="53"/>
      <c r="G50" s="53"/>
      <c r="H50" s="53"/>
      <c r="I50" s="53"/>
      <c r="J50" s="53"/>
    </row>
    <row r="51" spans="1:10" s="49" customFormat="1" ht="12.75" hidden="1">
      <c r="A51" s="53"/>
      <c r="C51" s="53"/>
      <c r="D51" s="55"/>
      <c r="E51" s="53"/>
      <c r="F51" s="53"/>
      <c r="G51" s="53"/>
      <c r="H51" s="53"/>
      <c r="I51" s="53"/>
      <c r="J51" s="53"/>
    </row>
    <row r="52" spans="1:10" s="49" customFormat="1" ht="12.75" hidden="1">
      <c r="A52" s="53"/>
      <c r="C52" s="53"/>
      <c r="D52" s="55"/>
      <c r="E52" s="53"/>
      <c r="F52" s="53"/>
      <c r="G52" s="53"/>
      <c r="H52" s="53"/>
      <c r="I52" s="53"/>
      <c r="J52" s="53"/>
    </row>
    <row r="53" spans="1:10" s="49" customFormat="1" ht="12.75" hidden="1">
      <c r="A53" s="53"/>
      <c r="C53" s="53"/>
      <c r="D53" s="55"/>
      <c r="E53" s="53"/>
      <c r="F53" s="53"/>
      <c r="G53" s="53"/>
      <c r="H53" s="53"/>
      <c r="I53" s="53"/>
      <c r="J53" s="53"/>
    </row>
    <row r="54" spans="1:10" s="49" customFormat="1" ht="12.75" hidden="1">
      <c r="A54" s="53"/>
      <c r="C54" s="53"/>
      <c r="D54" s="55"/>
      <c r="E54" s="53"/>
      <c r="F54" s="53"/>
      <c r="G54" s="53"/>
      <c r="H54" s="53"/>
      <c r="I54" s="53"/>
      <c r="J54" s="53"/>
    </row>
    <row r="55" spans="1:10" s="49" customFormat="1" ht="12.75" hidden="1">
      <c r="A55" s="53"/>
      <c r="C55" s="53"/>
      <c r="D55" s="55"/>
      <c r="E55" s="53"/>
      <c r="F55" s="53"/>
      <c r="G55" s="53"/>
      <c r="H55" s="53"/>
      <c r="I55" s="53"/>
      <c r="J55" s="53"/>
    </row>
    <row r="56" spans="1:10" s="49" customFormat="1" ht="12.75" hidden="1">
      <c r="A56" s="53"/>
      <c r="C56" s="53"/>
      <c r="D56" s="55"/>
      <c r="E56" s="53"/>
      <c r="F56" s="53"/>
      <c r="G56" s="53"/>
      <c r="H56" s="53"/>
      <c r="I56" s="53"/>
      <c r="J56" s="53"/>
    </row>
    <row r="57" spans="1:10" s="49" customFormat="1" ht="12.75" hidden="1">
      <c r="A57" s="53"/>
      <c r="C57" s="53"/>
      <c r="D57" s="55"/>
      <c r="E57" s="53"/>
      <c r="F57" s="53"/>
      <c r="G57" s="53"/>
      <c r="H57" s="53"/>
      <c r="I57" s="53"/>
      <c r="J57" s="53"/>
    </row>
    <row r="58" spans="1:10" s="49" customFormat="1" ht="12.75" hidden="1">
      <c r="A58" s="53"/>
      <c r="C58" s="53"/>
      <c r="D58" s="55"/>
      <c r="E58" s="53"/>
      <c r="F58" s="53"/>
      <c r="G58" s="53"/>
      <c r="H58" s="53"/>
      <c r="I58" s="53"/>
      <c r="J58" s="53"/>
    </row>
    <row r="59" spans="1:10" s="49" customFormat="1" ht="12.75" hidden="1">
      <c r="A59" s="53"/>
      <c r="C59" s="53"/>
      <c r="D59" s="55"/>
      <c r="E59" s="53"/>
      <c r="F59" s="53"/>
      <c r="G59" s="53"/>
      <c r="H59" s="53"/>
      <c r="I59" s="53"/>
      <c r="J59" s="53"/>
    </row>
    <row r="60" spans="1:16" s="49" customFormat="1" ht="12.75" hidden="1">
      <c r="A60" s="53"/>
      <c r="C60" s="53"/>
      <c r="D60" s="53"/>
      <c r="E60" s="53"/>
      <c r="F60" s="53"/>
      <c r="G60" s="53"/>
      <c r="H60" s="53"/>
      <c r="I60" s="53"/>
      <c r="J60" s="53"/>
      <c r="K60" s="53"/>
      <c r="L60" s="53"/>
      <c r="M60" s="55"/>
      <c r="N60" s="53"/>
      <c r="O60" s="53"/>
      <c r="P60" s="53"/>
    </row>
    <row r="65" ht="12.75"/>
    <row r="66" ht="12.75"/>
  </sheetData>
  <sheetProtection/>
  <printOptions horizontalCentered="1"/>
  <pageMargins left="0.7480314960629921" right="0.7480314960629921" top="0.984251968503937" bottom="0.984251968503937" header="0.5118110236220472" footer="0.5118110236220472"/>
  <pageSetup horizontalDpi="360" verticalDpi="360" orientation="portrait" paperSize="9" r:id="rId3"/>
  <headerFooter alignWithMargins="0">
    <oddFooter>&amp;C&amp;"Arial,Italic"&amp;9&amp;Y&amp;F by Mladen Čačić</oddFooter>
  </headerFooter>
  <legacyDrawing r:id="rId2"/>
</worksheet>
</file>

<file path=xl/worksheets/sheet19.xml><?xml version="1.0" encoding="utf-8"?>
<worksheet xmlns="http://schemas.openxmlformats.org/spreadsheetml/2006/main" xmlns:r="http://schemas.openxmlformats.org/officeDocument/2006/relationships">
  <sheetPr codeName="Sheet19">
    <tabColor indexed="11"/>
  </sheetPr>
  <dimension ref="A1:AM92"/>
  <sheetViews>
    <sheetView showGridLines="0" showRowColHeaders="0" zoomScale="48" zoomScaleNormal="48" zoomScalePageLayoutView="0" workbookViewId="0" topLeftCell="D1">
      <selection activeCell="R4" sqref="R4"/>
    </sheetView>
  </sheetViews>
  <sheetFormatPr defaultColWidth="9.140625" defaultRowHeight="12.75"/>
  <cols>
    <col min="1" max="1" width="9.28125" style="130" customWidth="1"/>
    <col min="2" max="2" width="22.8515625" style="6" customWidth="1"/>
    <col min="3" max="3" width="20.421875" style="6" customWidth="1"/>
    <col min="4" max="4" width="5.7109375" style="6" customWidth="1"/>
    <col min="5" max="5" width="10.28125" style="6" customWidth="1"/>
    <col min="6" max="6" width="9.00390625" style="6" customWidth="1"/>
    <col min="7" max="7" width="6.421875" style="6" customWidth="1"/>
    <col min="8" max="8" width="20.421875" style="6" customWidth="1"/>
    <col min="9" max="9" width="5.7109375" style="6" customWidth="1"/>
    <col min="10" max="10" width="10.421875" style="6" customWidth="1"/>
    <col min="11" max="11" width="9.00390625" style="6" customWidth="1"/>
    <col min="12" max="12" width="6.421875" style="6" customWidth="1"/>
    <col min="13" max="13" width="20.421875" style="6" customWidth="1"/>
    <col min="14" max="14" width="5.7109375" style="6" customWidth="1"/>
    <col min="15" max="15" width="10.421875" style="6" customWidth="1"/>
    <col min="16" max="16" width="9.00390625" style="6" customWidth="1"/>
    <col min="17" max="17" width="6.421875" style="6" customWidth="1"/>
    <col min="18" max="18" width="20.421875" style="6" customWidth="1"/>
    <col min="19" max="19" width="5.7109375" style="6" customWidth="1"/>
    <col min="20" max="20" width="10.421875" style="6" customWidth="1"/>
    <col min="21" max="21" width="8.7109375" style="6" customWidth="1"/>
    <col min="22" max="22" width="6.421875" style="6" customWidth="1"/>
    <col min="23" max="23" width="20.421875" style="6" customWidth="1"/>
    <col min="24" max="24" width="5.7109375" style="6" customWidth="1"/>
    <col min="25" max="25" width="10.421875" style="6" customWidth="1"/>
    <col min="26" max="26" width="9.00390625" style="6" customWidth="1"/>
    <col min="27" max="27" width="6.421875" style="6" customWidth="1"/>
    <col min="28" max="28" width="9.57421875" style="6" customWidth="1"/>
    <col min="29" max="29" width="16.28125" style="6" customWidth="1"/>
    <col min="30" max="30" width="8.140625" style="6" customWidth="1"/>
    <col min="31" max="31" width="9.140625" style="6" customWidth="1"/>
    <col min="32" max="32" width="15.57421875" style="68" customWidth="1"/>
    <col min="33" max="33" width="15.57421875" style="197" hidden="1" customWidth="1"/>
    <col min="34" max="34" width="18.7109375" style="68" hidden="1" customWidth="1"/>
    <col min="35" max="38" width="9.140625" style="68" hidden="1" customWidth="1"/>
    <col min="39" max="39" width="11.00390625" style="68" hidden="1" customWidth="1"/>
    <col min="40" max="16384" width="9.140625" style="6" customWidth="1"/>
  </cols>
  <sheetData>
    <row r="1" spans="1:33" s="101" customFormat="1" ht="35.25">
      <c r="A1" s="128"/>
      <c r="B1" s="100"/>
      <c r="N1" s="137" t="s">
        <v>127</v>
      </c>
      <c r="AG1" s="197"/>
    </row>
    <row r="2" spans="1:33" s="101" customFormat="1" ht="35.25">
      <c r="A2" s="129"/>
      <c r="B2" s="102"/>
      <c r="C2" s="103"/>
      <c r="N2" s="137" t="s">
        <v>128</v>
      </c>
      <c r="W2" s="6"/>
      <c r="AG2" s="197"/>
    </row>
    <row r="3" spans="1:39" s="72" customFormat="1" ht="20.25">
      <c r="A3" s="130"/>
      <c r="B3" s="6"/>
      <c r="C3" s="6"/>
      <c r="D3" s="6"/>
      <c r="E3" s="6"/>
      <c r="F3" s="6"/>
      <c r="G3" s="6"/>
      <c r="H3" s="6"/>
      <c r="I3" s="6"/>
      <c r="J3" s="6"/>
      <c r="K3" s="6"/>
      <c r="L3" s="6"/>
      <c r="M3" s="6"/>
      <c r="N3" s="6"/>
      <c r="O3" s="6"/>
      <c r="P3" s="6"/>
      <c r="Q3" s="6"/>
      <c r="R3" s="6"/>
      <c r="S3" s="6"/>
      <c r="T3" s="6"/>
      <c r="U3" s="6"/>
      <c r="V3" s="6"/>
      <c r="W3" s="6"/>
      <c r="X3" s="6"/>
      <c r="Y3" s="6"/>
      <c r="Z3" s="6"/>
      <c r="AA3" s="6"/>
      <c r="AB3" s="6"/>
      <c r="AC3" s="6"/>
      <c r="AD3" s="6"/>
      <c r="AF3" s="68"/>
      <c r="AG3" s="197"/>
      <c r="AH3" s="68"/>
      <c r="AI3" s="68"/>
      <c r="AJ3" s="68"/>
      <c r="AK3" s="68"/>
      <c r="AL3" s="68"/>
      <c r="AM3" s="68"/>
    </row>
    <row r="4" spans="1:33" s="115" customFormat="1" ht="27">
      <c r="A4" s="130"/>
      <c r="B4" s="138" t="str">
        <f>IF(ISBLANK('Organizacija natjecanja'!$H$2)=TRUE,"",'Organizacija natjecanja'!$H$2)</f>
        <v>KUP "BLJESAK"</v>
      </c>
      <c r="D4" s="138" t="str">
        <f>IF(ISBLANK('Organizacija natjecanja'!$H$9)=TRUE,"",'Organizacija natjecanja'!$H$9)</f>
        <v>SENIORI</v>
      </c>
      <c r="AA4" s="114" t="str">
        <f>IF(ISBLANK('Organizacija natjecanja'!$H$5)=TRUE,"",'Organizacija natjecanja'!$H$5)</f>
        <v>Lipik, 28.04.2009.g.</v>
      </c>
      <c r="AG4" s="197"/>
    </row>
    <row r="5" spans="1:39" s="72" customFormat="1" ht="20.25">
      <c r="A5" s="130"/>
      <c r="B5" s="31" t="s">
        <v>73</v>
      </c>
      <c r="I5" s="6"/>
      <c r="M5" s="6"/>
      <c r="P5" s="6"/>
      <c r="Q5" s="6"/>
      <c r="R5" s="6"/>
      <c r="S5" s="6"/>
      <c r="T5" s="6"/>
      <c r="U5" s="6"/>
      <c r="V5" s="6"/>
      <c r="W5" s="6"/>
      <c r="X5" s="6"/>
      <c r="Y5" s="6"/>
      <c r="Z5" s="6"/>
      <c r="AA5" s="31" t="s">
        <v>116</v>
      </c>
      <c r="AF5" s="68"/>
      <c r="AG5" s="197"/>
      <c r="AH5" s="68"/>
      <c r="AI5" s="68"/>
      <c r="AJ5" s="68"/>
      <c r="AK5" s="68"/>
      <c r="AL5" s="68"/>
      <c r="AM5" s="68"/>
    </row>
    <row r="6" spans="1:39" s="72" customFormat="1" ht="20.25">
      <c r="A6" s="131"/>
      <c r="AF6" s="68"/>
      <c r="AG6" s="197"/>
      <c r="AH6" s="68"/>
      <c r="AI6" s="68"/>
      <c r="AJ6" s="68"/>
      <c r="AK6" s="68"/>
      <c r="AL6" s="68"/>
      <c r="AM6" s="68"/>
    </row>
    <row r="7" spans="1:39" s="72" customFormat="1" ht="21" thickBot="1">
      <c r="A7" s="131"/>
      <c r="AF7" s="68"/>
      <c r="AG7" s="197"/>
      <c r="AH7" s="68"/>
      <c r="AI7" s="68"/>
      <c r="AJ7" s="68"/>
      <c r="AK7" s="68"/>
      <c r="AL7" s="68"/>
      <c r="AM7" s="68"/>
    </row>
    <row r="8" spans="1:33" s="116" customFormat="1" ht="27" thickBot="1">
      <c r="A8" s="492" t="s">
        <v>117</v>
      </c>
      <c r="B8" s="494" t="s">
        <v>271</v>
      </c>
      <c r="C8" s="496" t="s">
        <v>106</v>
      </c>
      <c r="D8" s="497"/>
      <c r="E8" s="497"/>
      <c r="F8" s="497"/>
      <c r="G8" s="498"/>
      <c r="H8" s="496" t="s">
        <v>107</v>
      </c>
      <c r="I8" s="497"/>
      <c r="J8" s="497"/>
      <c r="K8" s="497"/>
      <c r="L8" s="498"/>
      <c r="M8" s="503" t="s">
        <v>108</v>
      </c>
      <c r="N8" s="504"/>
      <c r="O8" s="504"/>
      <c r="P8" s="504"/>
      <c r="Q8" s="504"/>
      <c r="R8" s="505" t="s">
        <v>109</v>
      </c>
      <c r="S8" s="504"/>
      <c r="T8" s="504"/>
      <c r="U8" s="504"/>
      <c r="V8" s="506"/>
      <c r="W8" s="496" t="s">
        <v>110</v>
      </c>
      <c r="X8" s="497"/>
      <c r="Y8" s="497"/>
      <c r="Z8" s="497"/>
      <c r="AA8" s="498"/>
      <c r="AB8" s="507" t="s">
        <v>121</v>
      </c>
      <c r="AC8" s="499" t="s">
        <v>119</v>
      </c>
      <c r="AD8" s="501" t="s">
        <v>122</v>
      </c>
      <c r="AG8" s="197"/>
    </row>
    <row r="9" spans="1:39" s="72" customFormat="1" ht="156.75" thickBot="1">
      <c r="A9" s="493"/>
      <c r="B9" s="495"/>
      <c r="C9" s="352" t="s">
        <v>159</v>
      </c>
      <c r="D9" s="353" t="s">
        <v>118</v>
      </c>
      <c r="E9" s="354" t="s">
        <v>119</v>
      </c>
      <c r="F9" s="354" t="s">
        <v>120</v>
      </c>
      <c r="G9" s="355" t="s">
        <v>148</v>
      </c>
      <c r="H9" s="352" t="s">
        <v>159</v>
      </c>
      <c r="I9" s="354" t="s">
        <v>118</v>
      </c>
      <c r="J9" s="354" t="s">
        <v>119</v>
      </c>
      <c r="K9" s="356" t="s">
        <v>120</v>
      </c>
      <c r="L9" s="355" t="s">
        <v>148</v>
      </c>
      <c r="M9" s="357" t="s">
        <v>159</v>
      </c>
      <c r="N9" s="358" t="s">
        <v>118</v>
      </c>
      <c r="O9" s="358" t="s">
        <v>119</v>
      </c>
      <c r="P9" s="358" t="s">
        <v>120</v>
      </c>
      <c r="Q9" s="359" t="s">
        <v>148</v>
      </c>
      <c r="R9" s="357" t="s">
        <v>159</v>
      </c>
      <c r="S9" s="358" t="s">
        <v>118</v>
      </c>
      <c r="T9" s="358" t="s">
        <v>119</v>
      </c>
      <c r="U9" s="360" t="s">
        <v>120</v>
      </c>
      <c r="V9" s="359" t="s">
        <v>148</v>
      </c>
      <c r="W9" s="361" t="s">
        <v>159</v>
      </c>
      <c r="X9" s="354" t="s">
        <v>118</v>
      </c>
      <c r="Y9" s="354" t="s">
        <v>119</v>
      </c>
      <c r="Z9" s="354" t="s">
        <v>120</v>
      </c>
      <c r="AA9" s="355" t="s">
        <v>148</v>
      </c>
      <c r="AB9" s="508"/>
      <c r="AC9" s="500"/>
      <c r="AD9" s="502"/>
      <c r="AF9" s="68"/>
      <c r="AG9" s="197"/>
      <c r="AH9" s="68"/>
      <c r="AI9" s="68"/>
      <c r="AJ9" s="68"/>
      <c r="AK9" s="68" t="s">
        <v>123</v>
      </c>
      <c r="AL9" s="68" t="s">
        <v>124</v>
      </c>
      <c r="AM9" s="68"/>
    </row>
    <row r="10" spans="1:39" s="72" customFormat="1" ht="52.5" customHeight="1">
      <c r="A10" s="147">
        <f>IF(OR(ISNUMBER(D10)=TRUE,ISNUMBER(I10)=TRUE,ISNUMBER(N10)=TRUE,ISNUMBER(S10)=TRUE,ISNUMBER(X10)=TRUE),1,"")</f>
        <v>1</v>
      </c>
      <c r="B10" s="165" t="str">
        <f>IF(ISBLANK('Prijava ekipa i izvlačenje br.'!C2)=TRUE,"",'Prijava ekipa i izvlačenje br.'!C2)</f>
        <v>Korana Karlovac</v>
      </c>
      <c r="C10" s="166" t="str">
        <f>IF(COUNTIF('Prijava ekipa i izvlačenje br.'!$E2,"A")=1,'Prijava ekipa i izvlačenje br.'!$D2,IF(COUNTIF('Prijava ekipa i izvlačenje br.'!$H2,"A")=1,'Prijava ekipa i izvlačenje br.'!$G2,IF(COUNTIF('Prijava ekipa i izvlačenje br.'!$K2,"A")=1,'Prijava ekipa i izvlačenje br.'!$J2,IF(COUNTIF('Prijava ekipa i izvlačenje br.'!$N2,"A")=1,'Prijava ekipa i izvlačenje br.'!$M2,IF(COUNTIF('Prijava ekipa i izvlačenje br.'!$Q2,"A")=1,'Prijava ekipa i izvlačenje br.'!$P2,"")))))</f>
        <v>Elvis Šinko</v>
      </c>
      <c r="D10" s="95">
        <f>IF(AND(ISNUMBER('Prijava ekipa i izvlačenje br.'!A2)=TRUE,ISNUMBER(E10)=TRUE),'Prijava ekipa i izvlačenje br.'!A2,IF(AND(ISNUMBER('Prijava ekipa i izvlačenje br.'!F2)=TRUE,COUNTIF('Prijava ekipa i izvlačenje br.'!$E2,"A")=1),'Prijava ekipa i izvlačenje br.'!F2,IF(AND(ISNUMBER('Prijava ekipa i izvlačenje br.'!I2)=TRUE,COUNTIF('Prijava ekipa i izvlačenje br.'!$H2,"A")=1),'Prijava ekipa i izvlačenje br.'!I2,IF(AND(ISNUMBER('Prijava ekipa i izvlačenje br.'!L2)=TRUE,COUNTIF('Prijava ekipa i izvlačenje br.'!$K2,"A")=1),'Prijava ekipa i izvlačenje br.'!L2,IF(AND(ISNUMBER('Prijava ekipa i izvlačenje br.'!O2)=TRUE,COUNTIF('Prijava ekipa i izvlačenje br.'!$N2,"A")=1),'Prijava ekipa i izvlačenje br.'!O2,IF(AND(ISNUMBER('Prijava ekipa i izvlačenje br.'!R2)=TRUE,COUNTIF('Prijava ekipa i izvlačenje br.'!$Q2,"A")=1),'Prijava ekipa i izvlačenje br.'!R2,""))))))</f>
        <v>1</v>
      </c>
      <c r="E10" s="112">
        <f>IF(ISBLANK('Upis rezultata A sektora'!F2)=TRUE,"",'Upis rezultata A sektora'!F2)</f>
        <v>5000</v>
      </c>
      <c r="F10" s="112">
        <f>IF(ISBLANK('Upis rezultata A sektora'!B2)=TRUE,"",'Upis rezultata A sektora'!B2)</f>
        <v>1</v>
      </c>
      <c r="G10" s="117">
        <f>IF(AND(ISNUMBER(AL10)=TRUE,ISNUMBER(E10)=TRUE),AL10,"")</f>
        <v>1</v>
      </c>
      <c r="H10" s="157" t="str">
        <f>IF(COUNTIF('Prijava ekipa i izvlačenje br.'!$E2,"B")=1,'Prijava ekipa i izvlačenje br.'!$D2,IF(COUNTIF('Prijava ekipa i izvlačenje br.'!$H2,"B")=1,'Prijava ekipa i izvlačenje br.'!$G2,IF(COUNTIF('Prijava ekipa i izvlačenje br.'!$K2,"B")=1,'Prijava ekipa i izvlačenje br.'!$J2,IF(COUNTIF('Prijava ekipa i izvlačenje br.'!$N2,"B")=1,'Prijava ekipa i izvlačenje br.'!$M2,IF(COUNTIF('Prijava ekipa i izvlačenje br.'!$Q2,"B")=1,'Prijava ekipa i izvlačenje br.'!$P2,"")))))</f>
        <v>Nenad Viboh</v>
      </c>
      <c r="I10" s="95">
        <f>IF(AND(ISNUMBER('Prijava ekipa i izvlačenje br.'!A2)=TRUE,ISNUMBER(J10)=TRUE),'Prijava ekipa i izvlačenje br.'!A2,IF(AND(ISNUMBER('Prijava ekipa i izvlačenje br.'!F2)=TRUE,COUNTIF('Prijava ekipa i izvlačenje br.'!$E2,"B")=1),'Prijava ekipa i izvlačenje br.'!F2,IF(AND(ISNUMBER('Prijava ekipa i izvlačenje br.'!I2)=TRUE,COUNTIF('Prijava ekipa i izvlačenje br.'!$H2,"B")=1),'Prijava ekipa i izvlačenje br.'!I2,IF(AND(ISNUMBER('Prijava ekipa i izvlačenje br.'!L2)=TRUE,COUNTIF('Prijava ekipa i izvlačenje br.'!$K2,"B")=1),'Prijava ekipa i izvlačenje br.'!L2,IF(AND(ISNUMBER('Prijava ekipa i izvlačenje br.'!O2)=TRUE,COUNTIF('Prijava ekipa i izvlačenje br.'!$N2,"B")=1),'Prijava ekipa i izvlačenje br.'!O2,IF(AND(ISNUMBER('Prijava ekipa i izvlačenje br.'!R2)=TRUE,COUNTIF('Prijava ekipa i izvlačenje br.'!$Q2,"B")=1),'Prijava ekipa i izvlačenje br.'!R2,""))))))</f>
        <v>1</v>
      </c>
      <c r="J10" s="112">
        <f>IF(ISBLANK('Upis rezultata B sektora'!F2)=TRUE,"",'Upis rezultata B sektora'!F2)</f>
        <v>5000</v>
      </c>
      <c r="K10" s="112">
        <f>IF(ISBLANK('Upis rezultata B sektora'!B2)=TRUE,"",'Upis rezultata B sektora'!B2)</f>
        <v>1</v>
      </c>
      <c r="L10" s="158">
        <f>IF(AND(ISNUMBER(AL22)=TRUE,ISNUMBER(J10)=TRUE),AL22,"")</f>
        <v>1</v>
      </c>
      <c r="M10" s="94" t="str">
        <f>IF(COUNTIF('Prijava ekipa i izvlačenje br.'!$E2,"C")=1,'Prijava ekipa i izvlačenje br.'!$D2,IF(COUNTIF('Prijava ekipa i izvlačenje br.'!$H2,"C")=1,'Prijava ekipa i izvlačenje br.'!$G2,IF(COUNTIF('Prijava ekipa i izvlačenje br.'!$K2,"C")=1,'Prijava ekipa i izvlačenje br.'!$J2,IF(COUNTIF('Prijava ekipa i izvlačenje br.'!$N2,"C")=1,'Prijava ekipa i izvlačenje br.'!$M2,IF(COUNTIF('Prijava ekipa i izvlačenje br.'!$Q2,"C")=1,'Prijava ekipa i izvlačenje br.'!$P2,"")))))</f>
        <v>Hrvoje Kovač</v>
      </c>
      <c r="N10" s="95">
        <f>IF(AND(ISNUMBER('Prijava ekipa i izvlačenje br.'!A2)=TRUE,ISNUMBER(O10)),'Prijava ekipa i izvlačenje br.'!A2,IF(AND(ISNUMBER('Prijava ekipa i izvlačenje br.'!F2)=TRUE,COUNTIF('Prijava ekipa i izvlačenje br.'!$E2,"C")=1),'Prijava ekipa i izvlačenje br.'!F2,IF(AND(ISNUMBER('Prijava ekipa i izvlačenje br.'!I2)=TRUE,COUNTIF('Prijava ekipa i izvlačenje br.'!$H2,"C")=1),'Prijava ekipa i izvlačenje br.'!I2,IF(AND(ISNUMBER('Prijava ekipa i izvlačenje br.'!L2)=TRUE,COUNTIF('Prijava ekipa i izvlačenje br.'!$K2,"C")=1),'Prijava ekipa i izvlačenje br.'!L2,IF(AND(ISNUMBER('Prijava ekipa i izvlačenje br.'!O2)=TRUE,COUNTIF('Prijava ekipa i izvlačenje br.'!$N2,"C")=1),'Prijava ekipa i izvlačenje br.'!O2,IF(AND(ISNUMBER('Prijava ekipa i izvlačenje br.'!R2)=TRUE,COUNTIF('Prijava ekipa i izvlačenje br.'!$Q2,"C")=1),'Prijava ekipa i izvlačenje br.'!R2,""))))))</f>
        <v>1</v>
      </c>
      <c r="O10" s="112">
        <f>IF(ISBLANK('Upis rezultata C sektora'!F2)=TRUE,"",'Upis rezultata C sektora'!F2)</f>
        <v>5000</v>
      </c>
      <c r="P10" s="112">
        <f>IF(ISBLANK('Upis rezultata C sektora'!B2)=TRUE,"",'Upis rezultata C sektora'!B2)</f>
        <v>1</v>
      </c>
      <c r="Q10" s="155">
        <f>IF(AND(ISNUMBER(AL34)=TRUE,ISNUMBER(O10)=TRUE),AL34,"")</f>
        <v>1</v>
      </c>
      <c r="R10" s="157" t="str">
        <f>IF(COUNTIF('Prijava ekipa i izvlačenje br.'!$E2,"D")=1,'Prijava ekipa i izvlačenje br.'!$D2,IF(COUNTIF('Prijava ekipa i izvlačenje br.'!$H2,"D")=1,'Prijava ekipa i izvlačenje br.'!$G2,IF(COUNTIF('Prijava ekipa i izvlačenje br.'!$K2,"D")=1,'Prijava ekipa i izvlačenje br.'!$J2,IF(COUNTIF('Prijava ekipa i izvlačenje br.'!$N2,"D")=1,'Prijava ekipa i izvlačenje br.'!$M2,IF(COUNTIF('Prijava ekipa i izvlačenje br.'!$Q2,"D")=1,'Prijava ekipa i izvlačenje br.'!$P2,"")))))</f>
        <v>Damir Jauševac</v>
      </c>
      <c r="S10" s="95">
        <f>IF(AND(ISNUMBER('Prijava ekipa i izvlačenje br.'!A2)=TRUE,ISNUMBER(T10)=TRUE),'Prijava ekipa i izvlačenje br.'!A2,IF(AND(ISNUMBER('Prijava ekipa i izvlačenje br.'!F2)=TRUE,COUNTIF('Prijava ekipa i izvlačenje br.'!$E2,"D")=1),'Prijava ekipa i izvlačenje br.'!F2,IF(AND(ISNUMBER('Prijava ekipa i izvlačenje br.'!I2)=TRUE,COUNTIF('Prijava ekipa i izvlačenje br.'!$H2,"D")=1),'Prijava ekipa i izvlačenje br.'!I2,IF(AND(ISNUMBER('Prijava ekipa i izvlačenje br.'!L2)=TRUE,COUNTIF('Prijava ekipa i izvlačenje br.'!$K2,"D")=1),'Prijava ekipa i izvlačenje br.'!L2,IF(AND(ISNUMBER('Prijava ekipa i izvlačenje br.'!O2)=TRUE,COUNTIF('Prijava ekipa i izvlačenje br.'!$N2,"D")=1),'Prijava ekipa i izvlačenje br.'!O2,IF(AND(ISNUMBER('Prijava ekipa i izvlačenje br.'!R2)=TRUE,COUNTIF('Prijava ekipa i izvlačenje br.'!$Q2,"D")=1),'Prijava ekipa i izvlačenje br.'!R2,""))))))</f>
        <v>1</v>
      </c>
      <c r="T10" s="112">
        <f>IF(ISBLANK('Upis rezultata D sektora'!F2)=TRUE,"",'Upis rezultata D sektora'!F2)</f>
        <v>5000</v>
      </c>
      <c r="U10" s="112">
        <f>IF(ISBLANK('Upis rezultata D sektora'!B2)=TRUE,"",'Upis rezultata D sektora'!B2)</f>
        <v>1</v>
      </c>
      <c r="V10" s="158">
        <f>IF(AND(ISNUMBER(AL46)=TRUE,ISNUMBER(T10)=TRUE),AL46,"")</f>
        <v>1</v>
      </c>
      <c r="W10" s="94" t="str">
        <f>IF(COUNTIF('Prijava ekipa i izvlačenje br.'!$E2,"E")=1,'Prijava ekipa i izvlačenje br.'!$D2,IF(COUNTIF('Prijava ekipa i izvlačenje br.'!$H2,"E")=1,'Prijava ekipa i izvlačenje br.'!$G2,IF(COUNTIF('Prijava ekipa i izvlačenje br.'!$K2,"E")=1,'Prijava ekipa i izvlačenje br.'!$J2,IF(COUNTIF('Prijava ekipa i izvlačenje br.'!$N2,"E")=1,'Prijava ekipa i izvlačenje br.'!$M2,IF(COUNTIF('Prijava ekipa i izvlačenje br.'!$Q2,"E")=1,'Prijava ekipa i izvlačenje br.'!$P2,"")))))</f>
        <v>Ivan Kovač</v>
      </c>
      <c r="X10" s="95">
        <f>IF(AND(ISNUMBER('Prijava ekipa i izvlačenje br.'!A2)=TRUE,ISNUMBER(Y10)=TRUE),'Prijava ekipa i izvlačenje br.'!A2,IF(AND(ISNUMBER('Prijava ekipa i izvlačenje br.'!F2)=TRUE,COUNTIF('Prijava ekipa i izvlačenje br.'!$E2,"E")=1),'Prijava ekipa i izvlačenje br.'!F2,IF(AND(ISNUMBER('Prijava ekipa i izvlačenje br.'!I2)=TRUE,COUNTIF('Prijava ekipa i izvlačenje br.'!$H2,"E")=1),'Prijava ekipa i izvlačenje br.'!I2,IF(AND(ISNUMBER('Prijava ekipa i izvlačenje br.'!L2)=TRUE,COUNTIF('Prijava ekipa i izvlačenje br.'!$K2,"E")=1),'Prijava ekipa i izvlačenje br.'!L2,IF(AND(ISNUMBER('Prijava ekipa i izvlačenje br.'!O2)=TRUE,COUNTIF('Prijava ekipa i izvlačenje br.'!$N2,"E")=1),'Prijava ekipa i izvlačenje br.'!O2,IF(AND(ISNUMBER('Prijava ekipa i izvlačenje br.'!R2)=TRUE,COUNTIF('Prijava ekipa i izvlačenje br.'!$Q2,"E")=1),'Prijava ekipa i izvlačenje br.'!R2,""))))))</f>
        <v>1</v>
      </c>
      <c r="Y10" s="112">
        <f>IF(ISBLANK('Upis rezultata E sektora'!F2)=TRUE,"",'Upis rezultata E sektora'!F2)</f>
        <v>5000</v>
      </c>
      <c r="Z10" s="112">
        <f>IF(ISBLANK('Upis rezultata E sektora'!B2)=TRUE,"",'Upis rezultata E sektora'!B2)</f>
        <v>1</v>
      </c>
      <c r="AA10" s="117">
        <f>IF(AND(ISNUMBER(AL58)=TRUE,ISNUMBER(Y10)=TRUE),AL58,"")</f>
        <v>1</v>
      </c>
      <c r="AB10" s="113">
        <f>IF(OR(ISNUMBER(F10)=TRUE,ISNUMBER(K10)=TRUE,ISNUMBER(P10)=TRUE,ISNUMBER(U10)=TRUE,ISNUMBER(Z10)=TRUE),SUM(F10,K10,P10,U10,Z10),"")</f>
        <v>5</v>
      </c>
      <c r="AC10" s="112">
        <f>IF(ISNUMBER(AB10)=FALSE,"",IF(AND(ISNUMBER(AB10)=TRUE,ISNUMBER(E10)=FALSE,ISNUMBER(J10)=FALSE,ISNUMBER(O10)=FALSE,ISNUMBER(T10)=FALSE,ISNUMBER(Y10)=FALSE),"",SUM(E10,J10,O10,T10,Y10)))</f>
        <v>25000</v>
      </c>
      <c r="AD10" s="148">
        <f aca="true" t="shared" si="0" ref="AD10:AD20">IF(AND(ISNUMBER(E10)=FALSE,ISNUMBER(J10)=FALSE,ISNUMBER(O10)=FALSE,ISNUMBER(T10)=FALSE,ISNUMBER(Y10)=FALSE,ISNUMBER(AB10)=TRUE),(COUNTA(B$10:B$21)-COUNTIF(B$10:B$21,""))+1,IF(ISNUMBER(AB10)=TRUE,RANK(AH10,$AH$10:$AH$21,1),""))</f>
        <v>1</v>
      </c>
      <c r="AG10" s="197">
        <f>IF(ISNUMBER(AC10)=TRUE,AC10,0)</f>
        <v>25000</v>
      </c>
      <c r="AH10" s="68">
        <f>IF(ISNUMBER(AB10)=TRUE,AB10-AG10/100000-AI10/1000000000,"")</f>
        <v>4.749995</v>
      </c>
      <c r="AI10" s="68">
        <f>MAX(E10,J10,O10,T10,Y10)</f>
        <v>5000</v>
      </c>
      <c r="AJ10" s="68">
        <f aca="true" t="shared" si="1" ref="AJ10:AJ21">IF(ISNUMBER(F10)=TRUE,F10,"")</f>
        <v>1</v>
      </c>
      <c r="AK10" s="68">
        <f>IF(ISNUMBER(E10)=TRUE,E10,0)</f>
        <v>5000</v>
      </c>
      <c r="AL10" s="68">
        <f aca="true" t="shared" si="2" ref="AL10:AL41">IF(ISNUMBER(AM10)=TRUE,RANK(AM10,$AM$10:$AM$69,1),"")</f>
        <v>1</v>
      </c>
      <c r="AM10" s="68">
        <f aca="true" t="shared" si="3" ref="AM10:AM41">IF(ISNUMBER(AJ10)=TRUE,AJ10-AK10/100000,"")</f>
        <v>0.95</v>
      </c>
    </row>
    <row r="11" spans="1:39" s="72" customFormat="1" ht="52.5" customHeight="1">
      <c r="A11" s="147">
        <f>IF(OR(ISNUMBER(D11)=TRUE,ISNUMBER(I11)=TRUE,ISNUMBER(N11)=TRUE,ISNUMBER(S11)=TRUE,ISNUMBER(X11)=TRUE),2,"")</f>
        <v>2</v>
      </c>
      <c r="B11" s="161" t="str">
        <f>IF(ISBLANK('Prijava ekipa i izvlačenje br.'!C3)=TRUE,"",'Prijava ekipa i izvlačenje br.'!C3)</f>
        <v>Štuka Torčec</v>
      </c>
      <c r="C11" s="163" t="str">
        <f>IF(COUNTIF('Prijava ekipa i izvlačenje br.'!$E3,"A")=1,'Prijava ekipa i izvlačenje br.'!$D3,IF(COUNTIF('Prijava ekipa i izvlačenje br.'!$H3,"A")=1,'Prijava ekipa i izvlačenje br.'!$G3,IF(COUNTIF('Prijava ekipa i izvlačenje br.'!$K3,"A")=1,'Prijava ekipa i izvlačenje br.'!$J3,IF(COUNTIF('Prijava ekipa i izvlačenje br.'!$N3,"A")=1,'Prijava ekipa i izvlačenje br.'!$M3,IF(COUNTIF('Prijava ekipa i izvlačenje br.'!$Q3,"A")=1,'Prijava ekipa i izvlačenje br.'!$P3,"")))))</f>
        <v>Goran Štargl</v>
      </c>
      <c r="D11" s="95">
        <f>IF(AND(ISNUMBER('Prijava ekipa i izvlačenje br.'!A3)=TRUE,ISNUMBER(E11)=TRUE),'Prijava ekipa i izvlačenje br.'!A3,IF(AND(ISNUMBER('Prijava ekipa i izvlačenje br.'!F3)=TRUE,COUNTIF('Prijava ekipa i izvlačenje br.'!$E3,"A")=1),'Prijava ekipa i izvlačenje br.'!F3,IF(AND(ISNUMBER('Prijava ekipa i izvlačenje br.'!I3)=TRUE,COUNTIF('Prijava ekipa i izvlačenje br.'!$H3,"A")=1),'Prijava ekipa i izvlačenje br.'!I3,IF(AND(ISNUMBER('Prijava ekipa i izvlačenje br.'!L3)=TRUE,COUNTIF('Prijava ekipa i izvlačenje br.'!$K3,"A")=1),'Prijava ekipa i izvlačenje br.'!L3,IF(AND(ISNUMBER('Prijava ekipa i izvlačenje br.'!O3)=TRUE,COUNTIF('Prijava ekipa i izvlačenje br.'!$N3,"A")=1),'Prijava ekipa i izvlačenje br.'!O3,IF(AND(ISNUMBER('Prijava ekipa i izvlačenje br.'!R3)=TRUE,COUNTIF('Prijava ekipa i izvlačenje br.'!$Q3,"A")=1),'Prijava ekipa i izvlačenje br.'!R3,""))))))</f>
        <v>2</v>
      </c>
      <c r="E11" s="112">
        <f>IF(ISBLANK('Upis rezultata A sektora'!F3)=TRUE,"",'Upis rezultata A sektora'!F3)</f>
        <v>4235</v>
      </c>
      <c r="F11" s="112">
        <f>IF(ISBLANK('Upis rezultata A sektora'!B3)=TRUE,"",'Upis rezultata A sektora'!B3)</f>
        <v>2</v>
      </c>
      <c r="G11" s="117">
        <f aca="true" t="shared" si="4" ref="G11:G21">IF(AND(ISNUMBER(AL11)=TRUE,ISNUMBER(E11)=TRUE),AL11,"")</f>
        <v>7</v>
      </c>
      <c r="H11" s="157" t="str">
        <f>IF(COUNTIF('Prijava ekipa i izvlačenje br.'!$E3,"B")=1,'Prijava ekipa i izvlačenje br.'!$D3,IF(COUNTIF('Prijava ekipa i izvlačenje br.'!$H3,"B")=1,'Prijava ekipa i izvlačenje br.'!$G3,IF(COUNTIF('Prijava ekipa i izvlačenje br.'!$K3,"B")=1,'Prijava ekipa i izvlačenje br.'!$J3,IF(COUNTIF('Prijava ekipa i izvlačenje br.'!$N3,"B")=1,'Prijava ekipa i izvlačenje br.'!$M3,IF(COUNTIF('Prijava ekipa i izvlačenje br.'!$Q3,"B")=1,'Prijava ekipa i izvlačenje br.'!$P3,"")))))</f>
        <v>Goran Matijašić</v>
      </c>
      <c r="I11" s="95">
        <f>IF(AND(ISNUMBER('Prijava ekipa i izvlačenje br.'!A3)=TRUE,ISNUMBER(J11)=TRUE),'Prijava ekipa i izvlačenje br.'!A3,IF(AND(ISNUMBER('Prijava ekipa i izvlačenje br.'!F3)=TRUE,COUNTIF('Prijava ekipa i izvlačenje br.'!$E3,"B")=1),'Prijava ekipa i izvlačenje br.'!F3,IF(AND(ISNUMBER('Prijava ekipa i izvlačenje br.'!I3)=TRUE,COUNTIF('Prijava ekipa i izvlačenje br.'!$H3,"B")=1),'Prijava ekipa i izvlačenje br.'!I3,IF(AND(ISNUMBER('Prijava ekipa i izvlačenje br.'!L3)=TRUE,COUNTIF('Prijava ekipa i izvlačenje br.'!$K3,"B")=1),'Prijava ekipa i izvlačenje br.'!L3,IF(AND(ISNUMBER('Prijava ekipa i izvlačenje br.'!O3)=TRUE,COUNTIF('Prijava ekipa i izvlačenje br.'!$N3,"B")=1),'Prijava ekipa i izvlačenje br.'!O3,IF(AND(ISNUMBER('Prijava ekipa i izvlačenje br.'!R3)=TRUE,COUNTIF('Prijava ekipa i izvlačenje br.'!$Q3,"B")=1),'Prijava ekipa i izvlačenje br.'!R3,""))))))</f>
        <v>2</v>
      </c>
      <c r="J11" s="112">
        <f>IF(ISBLANK('Upis rezultata B sektora'!F3)=TRUE,"",'Upis rezultata B sektora'!F3)</f>
        <v>2536</v>
      </c>
      <c r="K11" s="112">
        <f>IF(ISBLANK('Upis rezultata B sektora'!B3)=TRUE,"",'Upis rezultata B sektora'!B3)</f>
        <v>3</v>
      </c>
      <c r="L11" s="158">
        <f aca="true" t="shared" si="5" ref="L11:L21">IF(AND(ISNUMBER(AL23)=TRUE,ISNUMBER(J11)=TRUE),AL23,"")</f>
        <v>14</v>
      </c>
      <c r="M11" s="94" t="str">
        <f>IF(COUNTIF('Prijava ekipa i izvlačenje br.'!$E3,"C")=1,'Prijava ekipa i izvlačenje br.'!$D3,IF(COUNTIF('Prijava ekipa i izvlačenje br.'!$H3,"C")=1,'Prijava ekipa i izvlačenje br.'!$G3,IF(COUNTIF('Prijava ekipa i izvlačenje br.'!$K3,"C")=1,'Prijava ekipa i izvlačenje br.'!$J3,IF(COUNTIF('Prijava ekipa i izvlačenje br.'!$N3,"C")=1,'Prijava ekipa i izvlačenje br.'!$M3,IF(COUNTIF('Prijava ekipa i izvlačenje br.'!$Q3,"C")=1,'Prijava ekipa i izvlačenje br.'!$P3,"")))))</f>
        <v>Danijel Picer</v>
      </c>
      <c r="N11" s="95">
        <f>IF(AND(ISNUMBER('Prijava ekipa i izvlačenje br.'!A3)=TRUE,ISNUMBER(O11)),'Prijava ekipa i izvlačenje br.'!A3,IF(AND(ISNUMBER('Prijava ekipa i izvlačenje br.'!F3)=TRUE,COUNTIF('Prijava ekipa i izvlačenje br.'!$E3,"C")=1),'Prijava ekipa i izvlačenje br.'!F3,IF(AND(ISNUMBER('Prijava ekipa i izvlačenje br.'!I3)=TRUE,COUNTIF('Prijava ekipa i izvlačenje br.'!$H3,"C")=1),'Prijava ekipa i izvlačenje br.'!I3,IF(AND(ISNUMBER('Prijava ekipa i izvlačenje br.'!L3)=TRUE,COUNTIF('Prijava ekipa i izvlačenje br.'!$K3,"C")=1),'Prijava ekipa i izvlačenje br.'!L3,IF(AND(ISNUMBER('Prijava ekipa i izvlačenje br.'!O3)=TRUE,COUNTIF('Prijava ekipa i izvlačenje br.'!$N3,"C")=1),'Prijava ekipa i izvlačenje br.'!O3,IF(AND(ISNUMBER('Prijava ekipa i izvlačenje br.'!R3)=TRUE,COUNTIF('Prijava ekipa i izvlačenje br.'!$Q3,"C")=1),'Prijava ekipa i izvlačenje br.'!R3,""))))))</f>
        <v>2</v>
      </c>
      <c r="O11" s="112">
        <f>IF(ISBLANK('Upis rezultata C sektora'!F3)=TRUE,"",'Upis rezultata C sektora'!F3)</f>
        <v>1354</v>
      </c>
      <c r="P11" s="112">
        <f>IF(ISBLANK('Upis rezultata C sektora'!B3)=TRUE,"",'Upis rezultata C sektora'!B3)</f>
        <v>8</v>
      </c>
      <c r="Q11" s="155">
        <f aca="true" t="shared" si="6" ref="Q11:Q21">IF(AND(ISNUMBER(AL35)=TRUE,ISNUMBER(O11)=TRUE),AL35,"")</f>
        <v>37</v>
      </c>
      <c r="R11" s="157" t="str">
        <f>IF(COUNTIF('Prijava ekipa i izvlačenje br.'!$E3,"D")=1,'Prijava ekipa i izvlačenje br.'!$D3,IF(COUNTIF('Prijava ekipa i izvlačenje br.'!$H3,"D")=1,'Prijava ekipa i izvlačenje br.'!$G3,IF(COUNTIF('Prijava ekipa i izvlačenje br.'!$K3,"D")=1,'Prijava ekipa i izvlačenje br.'!$J3,IF(COUNTIF('Prijava ekipa i izvlačenje br.'!$N3,"D")=1,'Prijava ekipa i izvlačenje br.'!$M3,IF(COUNTIF('Prijava ekipa i izvlačenje br.'!$Q3,"D")=1,'Prijava ekipa i izvlačenje br.'!$P3,"")))))</f>
        <v>Hrvoje Horvat</v>
      </c>
      <c r="S11" s="95">
        <f>IF(AND(ISNUMBER('Prijava ekipa i izvlačenje br.'!A3)=TRUE,ISNUMBER(T11)=TRUE),'Prijava ekipa i izvlačenje br.'!A3,IF(AND(ISNUMBER('Prijava ekipa i izvlačenje br.'!F3)=TRUE,COUNTIF('Prijava ekipa i izvlačenje br.'!$E3,"D")=1),'Prijava ekipa i izvlačenje br.'!F3,IF(AND(ISNUMBER('Prijava ekipa i izvlačenje br.'!I3)=TRUE,COUNTIF('Prijava ekipa i izvlačenje br.'!$H3,"D")=1),'Prijava ekipa i izvlačenje br.'!I3,IF(AND(ISNUMBER('Prijava ekipa i izvlačenje br.'!L3)=TRUE,COUNTIF('Prijava ekipa i izvlačenje br.'!$K3,"D")=1),'Prijava ekipa i izvlačenje br.'!L3,IF(AND(ISNUMBER('Prijava ekipa i izvlačenje br.'!O3)=TRUE,COUNTIF('Prijava ekipa i izvlačenje br.'!$N3,"D")=1),'Prijava ekipa i izvlačenje br.'!O3,IF(AND(ISNUMBER('Prijava ekipa i izvlačenje br.'!R3)=TRUE,COUNTIF('Prijava ekipa i izvlačenje br.'!$Q3,"D")=1),'Prijava ekipa i izvlačenje br.'!R3,""))))))</f>
        <v>2</v>
      </c>
      <c r="T11" s="112">
        <f>IF(ISBLANK('Upis rezultata D sektora'!F3)=TRUE,"",'Upis rezultata D sektora'!F3)</f>
        <v>1098</v>
      </c>
      <c r="U11" s="112">
        <f>IF(ISBLANK('Upis rezultata D sektora'!B3)=TRUE,"",'Upis rezultata D sektora'!B3)</f>
        <v>11</v>
      </c>
      <c r="V11" s="158">
        <f aca="true" t="shared" si="7" ref="V11:V21">IF(AND(ISNUMBER(AL47)=TRUE,ISNUMBER(T11)=TRUE),AL47,"")</f>
        <v>54</v>
      </c>
      <c r="W11" s="94" t="str">
        <f>IF(COUNTIF('Prijava ekipa i izvlačenje br.'!$E3,"E")=1,'Prijava ekipa i izvlačenje br.'!$D3,IF(COUNTIF('Prijava ekipa i izvlačenje br.'!$H3,"E")=1,'Prijava ekipa i izvlačenje br.'!$G3,IF(COUNTIF('Prijava ekipa i izvlačenje br.'!$K3,"E")=1,'Prijava ekipa i izvlačenje br.'!$J3,IF(COUNTIF('Prijava ekipa i izvlačenje br.'!$N3,"E")=1,'Prijava ekipa i izvlačenje br.'!$M3,IF(COUNTIF('Prijava ekipa i izvlačenje br.'!$Q3,"E")=1,'Prijava ekipa i izvlačenje br.'!$P3,"")))))</f>
        <v>Saša Mustač</v>
      </c>
      <c r="X11" s="95">
        <f>IF(AND(ISNUMBER('Prijava ekipa i izvlačenje br.'!A3)=TRUE,ISNUMBER(Y11)=TRUE),'Prijava ekipa i izvlačenje br.'!A3,IF(AND(ISNUMBER('Prijava ekipa i izvlačenje br.'!F3)=TRUE,COUNTIF('Prijava ekipa i izvlačenje br.'!$E3,"E")=1),'Prijava ekipa i izvlačenje br.'!F3,IF(AND(ISNUMBER('Prijava ekipa i izvlačenje br.'!I3)=TRUE,COUNTIF('Prijava ekipa i izvlačenje br.'!$H3,"E")=1),'Prijava ekipa i izvlačenje br.'!I3,IF(AND(ISNUMBER('Prijava ekipa i izvlačenje br.'!L3)=TRUE,COUNTIF('Prijava ekipa i izvlačenje br.'!$K3,"E")=1),'Prijava ekipa i izvlačenje br.'!L3,IF(AND(ISNUMBER('Prijava ekipa i izvlačenje br.'!O3)=TRUE,COUNTIF('Prijava ekipa i izvlačenje br.'!$N3,"E")=1),'Prijava ekipa i izvlačenje br.'!O3,IF(AND(ISNUMBER('Prijava ekipa i izvlačenje br.'!R3)=TRUE,COUNTIF('Prijava ekipa i izvlačenje br.'!$Q3,"E")=1),'Prijava ekipa i izvlačenje br.'!R3,""))))))</f>
        <v>2</v>
      </c>
      <c r="Y11" s="112">
        <f>IF(ISBLANK('Upis rezultata E sektora'!F3)=TRUE,"",'Upis rezultata E sektora'!F3)</f>
        <v>1045</v>
      </c>
      <c r="Z11" s="112">
        <f>IF(ISBLANK('Upis rezultata E sektora'!B3)=TRUE,"",'Upis rezultata E sektora'!B3)</f>
        <v>12</v>
      </c>
      <c r="AA11" s="117">
        <f aca="true" t="shared" si="8" ref="AA11:AA21">IF(AND(ISNUMBER(AL59)=TRUE,ISNUMBER(Y11)=TRUE),AL59,"")</f>
        <v>56</v>
      </c>
      <c r="AB11" s="113">
        <f aca="true" t="shared" si="9" ref="AB11:AB21">IF(OR(ISNUMBER(F11)=TRUE,ISNUMBER(K11)=TRUE,ISNUMBER(P11)=TRUE,ISNUMBER(U11)=TRUE,ISNUMBER(Z11)=TRUE),SUM(F11,K11,P11,U11,Z11),"")</f>
        <v>36</v>
      </c>
      <c r="AC11" s="112">
        <f aca="true" t="shared" si="10" ref="AC11:AC21">IF(ISNUMBER(AB11)=FALSE,"",IF(AND(ISNUMBER(AB11)=TRUE,ISNUMBER(E11)=FALSE,ISNUMBER(J11)=FALSE,ISNUMBER(O11)=FALSE,ISNUMBER(T11)=FALSE,ISNUMBER(Y11)=FALSE),"",SUM(E11,J11,O11,T11,Y11)))</f>
        <v>10268</v>
      </c>
      <c r="AD11" s="148">
        <f t="shared" si="0"/>
        <v>6</v>
      </c>
      <c r="AG11" s="197">
        <f aca="true" t="shared" si="11" ref="AG11:AG21">IF(ISNUMBER(AC11)=TRUE,AC11,0)</f>
        <v>10268</v>
      </c>
      <c r="AH11" s="68">
        <f aca="true" t="shared" si="12" ref="AH11:AH21">IF(ISNUMBER(AB11)=TRUE,AB11-AG11/100000-AI11/1000000000,"")</f>
        <v>35.897315765</v>
      </c>
      <c r="AI11" s="68">
        <f aca="true" t="shared" si="13" ref="AI11:AI21">MAX(E11,J11,O11,T11,Y11)</f>
        <v>4235</v>
      </c>
      <c r="AJ11" s="68">
        <f t="shared" si="1"/>
        <v>2</v>
      </c>
      <c r="AK11" s="68">
        <f aca="true" t="shared" si="14" ref="AK11:AK21">IF(ISNUMBER(E11)=TRUE,E11,0)</f>
        <v>4235</v>
      </c>
      <c r="AL11" s="68">
        <f t="shared" si="2"/>
        <v>7</v>
      </c>
      <c r="AM11" s="68">
        <f t="shared" si="3"/>
        <v>1.9576500000000001</v>
      </c>
    </row>
    <row r="12" spans="1:39" s="72" customFormat="1" ht="52.5" customHeight="1">
      <c r="A12" s="147">
        <f>IF(OR(ISNUMBER(D12)=TRUE,ISNUMBER(I12)=TRUE,ISNUMBER(N12)=TRUE,ISNUMBER(S12)=TRUE,ISNUMBER(X12)=TRUE),3,"")</f>
        <v>3</v>
      </c>
      <c r="B12" s="161" t="str">
        <f>IF(ISBLANK('Prijava ekipa i izvlačenje br.'!C4)=TRUE,"",'Prijava ekipa i izvlačenje br.'!C4)</f>
        <v>Rak Rakitje</v>
      </c>
      <c r="C12" s="163" t="str">
        <f>IF(COUNTIF('Prijava ekipa i izvlačenje br.'!$E4,"A")=1,'Prijava ekipa i izvlačenje br.'!$D4,IF(COUNTIF('Prijava ekipa i izvlačenje br.'!$H4,"A")=1,'Prijava ekipa i izvlačenje br.'!$G4,IF(COUNTIF('Prijava ekipa i izvlačenje br.'!$K4,"A")=1,'Prijava ekipa i izvlačenje br.'!$J4,IF(COUNTIF('Prijava ekipa i izvlačenje br.'!$N4,"A")=1,'Prijava ekipa i izvlačenje br.'!$M4,IF(COUNTIF('Prijava ekipa i izvlačenje br.'!$Q4,"A")=1,'Prijava ekipa i izvlačenje br.'!$P4,"")))))</f>
        <v>Mladen Kečkeš</v>
      </c>
      <c r="D12" s="95">
        <f>IF(AND(ISNUMBER('Prijava ekipa i izvlačenje br.'!A4)=TRUE,ISNUMBER(E12)=TRUE),'Prijava ekipa i izvlačenje br.'!A4,IF(AND(ISNUMBER('Prijava ekipa i izvlačenje br.'!F4)=TRUE,COUNTIF('Prijava ekipa i izvlačenje br.'!$E4,"A")=1),'Prijava ekipa i izvlačenje br.'!F4,IF(AND(ISNUMBER('Prijava ekipa i izvlačenje br.'!I4)=TRUE,COUNTIF('Prijava ekipa i izvlačenje br.'!$H4,"A")=1),'Prijava ekipa i izvlačenje br.'!I4,IF(AND(ISNUMBER('Prijava ekipa i izvlačenje br.'!L4)=TRUE,COUNTIF('Prijava ekipa i izvlačenje br.'!$K4,"A")=1),'Prijava ekipa i izvlačenje br.'!L4,IF(AND(ISNUMBER('Prijava ekipa i izvlačenje br.'!O4)=TRUE,COUNTIF('Prijava ekipa i izvlačenje br.'!$N4,"A")=1),'Prijava ekipa i izvlačenje br.'!O4,IF(AND(ISNUMBER('Prijava ekipa i izvlačenje br.'!R4)=TRUE,COUNTIF('Prijava ekipa i izvlačenje br.'!$Q4,"A")=1),'Prijava ekipa i izvlačenje br.'!R4,""))))))</f>
        <v>3</v>
      </c>
      <c r="E12" s="112">
        <f>IF(ISBLANK('Upis rezultata A sektora'!F4)=TRUE,"",'Upis rezultata A sektora'!F4)</f>
        <v>2978</v>
      </c>
      <c r="F12" s="112">
        <f>IF(ISBLANK('Upis rezultata A sektora'!B4)=TRUE,"",'Upis rezultata A sektora'!B4)</f>
        <v>3</v>
      </c>
      <c r="G12" s="117">
        <f t="shared" si="4"/>
        <v>12</v>
      </c>
      <c r="H12" s="157" t="str">
        <f>IF(COUNTIF('Prijava ekipa i izvlačenje br.'!$E4,"B")=1,'Prijava ekipa i izvlačenje br.'!$D4,IF(COUNTIF('Prijava ekipa i izvlačenje br.'!$H4,"B")=1,'Prijava ekipa i izvlačenje br.'!$G4,IF(COUNTIF('Prijava ekipa i izvlačenje br.'!$K4,"B")=1,'Prijava ekipa i izvlačenje br.'!$J4,IF(COUNTIF('Prijava ekipa i izvlačenje br.'!$N4,"B")=1,'Prijava ekipa i izvlačenje br.'!$M4,IF(COUNTIF('Prijava ekipa i izvlačenje br.'!$Q4,"B")=1,'Prijava ekipa i izvlačenje br.'!$P4,"")))))</f>
        <v>Martin Vrčković</v>
      </c>
      <c r="I12" s="95">
        <f>IF(AND(ISNUMBER('Prijava ekipa i izvlačenje br.'!A4)=TRUE,ISNUMBER(J12)=TRUE),'Prijava ekipa i izvlačenje br.'!A4,IF(AND(ISNUMBER('Prijava ekipa i izvlačenje br.'!F4)=TRUE,COUNTIF('Prijava ekipa i izvlačenje br.'!$E4,"B")=1),'Prijava ekipa i izvlačenje br.'!F4,IF(AND(ISNUMBER('Prijava ekipa i izvlačenje br.'!I4)=TRUE,COUNTIF('Prijava ekipa i izvlačenje br.'!$H4,"B")=1),'Prijava ekipa i izvlačenje br.'!I4,IF(AND(ISNUMBER('Prijava ekipa i izvlačenje br.'!L4)=TRUE,COUNTIF('Prijava ekipa i izvlačenje br.'!$K4,"B")=1),'Prijava ekipa i izvlačenje br.'!L4,IF(AND(ISNUMBER('Prijava ekipa i izvlačenje br.'!O4)=TRUE,COUNTIF('Prijava ekipa i izvlačenje br.'!$N4,"B")=1),'Prijava ekipa i izvlačenje br.'!O4,IF(AND(ISNUMBER('Prijava ekipa i izvlačenje br.'!R4)=TRUE,COUNTIF('Prijava ekipa i izvlačenje br.'!$Q4,"B")=1),'Prijava ekipa i izvlačenje br.'!R4,""))))))</f>
        <v>3</v>
      </c>
      <c r="J12" s="112">
        <f>IF(ISBLANK('Upis rezultata B sektora'!F4)=TRUE,"",'Upis rezultata B sektora'!F4)</f>
        <v>2452</v>
      </c>
      <c r="K12" s="112">
        <f>IF(ISBLANK('Upis rezultata B sektora'!B4)=TRUE,"",'Upis rezultata B sektora'!B4)</f>
        <v>4</v>
      </c>
      <c r="L12" s="158">
        <f t="shared" si="5"/>
        <v>18</v>
      </c>
      <c r="M12" s="94" t="str">
        <f>IF(COUNTIF('Prijava ekipa i izvlačenje br.'!$E4,"C")=1,'Prijava ekipa i izvlačenje br.'!$D4,IF(COUNTIF('Prijava ekipa i izvlačenje br.'!$H4,"C")=1,'Prijava ekipa i izvlačenje br.'!$G4,IF(COUNTIF('Prijava ekipa i izvlačenje br.'!$K4,"C")=1,'Prijava ekipa i izvlačenje br.'!$J4,IF(COUNTIF('Prijava ekipa i izvlačenje br.'!$N4,"C")=1,'Prijava ekipa i izvlačenje br.'!$M4,IF(COUNTIF('Prijava ekipa i izvlačenje br.'!$Q4,"C")=1,'Prijava ekipa i izvlačenje br.'!$P4,"")))))</f>
        <v>Stjepan Gorički</v>
      </c>
      <c r="N12" s="95">
        <f>IF(AND(ISNUMBER('Prijava ekipa i izvlačenje br.'!A4)=TRUE,ISNUMBER(O12)),'Prijava ekipa i izvlačenje br.'!A4,IF(AND(ISNUMBER('Prijava ekipa i izvlačenje br.'!F4)=TRUE,COUNTIF('Prijava ekipa i izvlačenje br.'!$E4,"C")=1),'Prijava ekipa i izvlačenje br.'!F4,IF(AND(ISNUMBER('Prijava ekipa i izvlačenje br.'!I4)=TRUE,COUNTIF('Prijava ekipa i izvlačenje br.'!$H4,"C")=1),'Prijava ekipa i izvlačenje br.'!I4,IF(AND(ISNUMBER('Prijava ekipa i izvlačenje br.'!L4)=TRUE,COUNTIF('Prijava ekipa i izvlačenje br.'!$K4,"C")=1),'Prijava ekipa i izvlačenje br.'!L4,IF(AND(ISNUMBER('Prijava ekipa i izvlačenje br.'!O4)=TRUE,COUNTIF('Prijava ekipa i izvlačenje br.'!$N4,"C")=1),'Prijava ekipa i izvlačenje br.'!O4,IF(AND(ISNUMBER('Prijava ekipa i izvlačenje br.'!R4)=TRUE,COUNTIF('Prijava ekipa i izvlačenje br.'!$Q4,"C")=1),'Prijava ekipa i izvlačenje br.'!R4,""))))))</f>
        <v>3</v>
      </c>
      <c r="O12" s="112">
        <f>IF(ISBLANK('Upis rezultata C sektora'!F4)=TRUE,"",'Upis rezultata C sektora'!F4)</f>
        <v>4740</v>
      </c>
      <c r="P12" s="112">
        <f>IF(ISBLANK('Upis rezultata C sektora'!B4)=TRUE,"",'Upis rezultata C sektora'!B4)</f>
        <v>2</v>
      </c>
      <c r="Q12" s="155">
        <f t="shared" si="6"/>
        <v>6</v>
      </c>
      <c r="R12" s="157" t="str">
        <f>IF(COUNTIF('Prijava ekipa i izvlačenje br.'!$E4,"D")=1,'Prijava ekipa i izvlačenje br.'!$D4,IF(COUNTIF('Prijava ekipa i izvlačenje br.'!$H4,"D")=1,'Prijava ekipa i izvlačenje br.'!$G4,IF(COUNTIF('Prijava ekipa i izvlačenje br.'!$K4,"D")=1,'Prijava ekipa i izvlačenje br.'!$J4,IF(COUNTIF('Prijava ekipa i izvlačenje br.'!$N4,"D")=1,'Prijava ekipa i izvlačenje br.'!$M4,IF(COUNTIF('Prijava ekipa i izvlačenje br.'!$Q4,"D")=1,'Prijava ekipa i izvlačenje br.'!$P4,"")))))</f>
        <v>Zlatko Novačić</v>
      </c>
      <c r="S12" s="95">
        <f>IF(AND(ISNUMBER('Prijava ekipa i izvlačenje br.'!A4)=TRUE,ISNUMBER(T12)=TRUE),'Prijava ekipa i izvlačenje br.'!A4,IF(AND(ISNUMBER('Prijava ekipa i izvlačenje br.'!F4)=TRUE,COUNTIF('Prijava ekipa i izvlačenje br.'!$E4,"D")=1),'Prijava ekipa i izvlačenje br.'!F4,IF(AND(ISNUMBER('Prijava ekipa i izvlačenje br.'!I4)=TRUE,COUNTIF('Prijava ekipa i izvlačenje br.'!$H4,"D")=1),'Prijava ekipa i izvlačenje br.'!I4,IF(AND(ISNUMBER('Prijava ekipa i izvlačenje br.'!L4)=TRUE,COUNTIF('Prijava ekipa i izvlačenje br.'!$K4,"D")=1),'Prijava ekipa i izvlačenje br.'!L4,IF(AND(ISNUMBER('Prijava ekipa i izvlačenje br.'!O4)=TRUE,COUNTIF('Prijava ekipa i izvlačenje br.'!$N4,"D")=1),'Prijava ekipa i izvlačenje br.'!O4,IF(AND(ISNUMBER('Prijava ekipa i izvlačenje br.'!R4)=TRUE,COUNTIF('Prijava ekipa i izvlačenje br.'!$Q4,"D")=1),'Prijava ekipa i izvlačenje br.'!R4,""))))))</f>
        <v>3</v>
      </c>
      <c r="T12" s="112">
        <f>IF(ISBLANK('Upis rezultata D sektora'!F4)=TRUE,"",'Upis rezultata D sektora'!F4)</f>
        <v>1256</v>
      </c>
      <c r="U12" s="112">
        <f>IF(ISBLANK('Upis rezultata D sektora'!B4)=TRUE,"",'Upis rezultata D sektora'!B4)</f>
        <v>10</v>
      </c>
      <c r="V12" s="158">
        <f t="shared" si="7"/>
        <v>46</v>
      </c>
      <c r="W12" s="94" t="str">
        <f>IF(COUNTIF('Prijava ekipa i izvlačenje br.'!$E4,"E")=1,'Prijava ekipa i izvlačenje br.'!$D4,IF(COUNTIF('Prijava ekipa i izvlačenje br.'!$H4,"E")=1,'Prijava ekipa i izvlačenje br.'!$G4,IF(COUNTIF('Prijava ekipa i izvlačenje br.'!$K4,"E")=1,'Prijava ekipa i izvlačenje br.'!$J4,IF(COUNTIF('Prijava ekipa i izvlačenje br.'!$N4,"E")=1,'Prijava ekipa i izvlačenje br.'!$M4,IF(COUNTIF('Prijava ekipa i izvlačenje br.'!$Q4,"E")=1,'Prijava ekipa i izvlačenje br.'!$P4,"")))))</f>
        <v>Zlatko Auker</v>
      </c>
      <c r="X12" s="95">
        <f>IF(AND(ISNUMBER('Prijava ekipa i izvlačenje br.'!A4)=TRUE,ISNUMBER(Y12)=TRUE),'Prijava ekipa i izvlačenje br.'!A4,IF(AND(ISNUMBER('Prijava ekipa i izvlačenje br.'!F4)=TRUE,COUNTIF('Prijava ekipa i izvlačenje br.'!$E4,"E")=1),'Prijava ekipa i izvlačenje br.'!F4,IF(AND(ISNUMBER('Prijava ekipa i izvlačenje br.'!I4)=TRUE,COUNTIF('Prijava ekipa i izvlačenje br.'!$H4,"E")=1),'Prijava ekipa i izvlačenje br.'!I4,IF(AND(ISNUMBER('Prijava ekipa i izvlačenje br.'!L4)=TRUE,COUNTIF('Prijava ekipa i izvlačenje br.'!$K4,"E")=1),'Prijava ekipa i izvlačenje br.'!L4,IF(AND(ISNUMBER('Prijava ekipa i izvlačenje br.'!O4)=TRUE,COUNTIF('Prijava ekipa i izvlačenje br.'!$N4,"E")=1),'Prijava ekipa i izvlačenje br.'!O4,IF(AND(ISNUMBER('Prijava ekipa i izvlačenje br.'!R4)=TRUE,COUNTIF('Prijava ekipa i izvlačenje br.'!$Q4,"E")=1),'Prijava ekipa i izvlačenje br.'!R4,""))))))</f>
        <v>3</v>
      </c>
      <c r="Y12" s="112">
        <f>IF(ISBLANK('Upis rezultata E sektora'!F4)=TRUE,"",'Upis rezultata E sektora'!F4)</f>
        <v>1256</v>
      </c>
      <c r="Z12" s="112">
        <f>IF(ISBLANK('Upis rezultata E sektora'!B4)=TRUE,"",'Upis rezultata E sektora'!B4)</f>
        <v>10.5</v>
      </c>
      <c r="AA12" s="117">
        <f t="shared" si="8"/>
        <v>48</v>
      </c>
      <c r="AB12" s="113">
        <f t="shared" si="9"/>
        <v>29.5</v>
      </c>
      <c r="AC12" s="112">
        <f t="shared" si="10"/>
        <v>12682</v>
      </c>
      <c r="AD12" s="148">
        <f t="shared" si="0"/>
        <v>4</v>
      </c>
      <c r="AG12" s="197">
        <f t="shared" si="11"/>
        <v>12682</v>
      </c>
      <c r="AH12" s="68">
        <f t="shared" si="12"/>
        <v>29.37317526</v>
      </c>
      <c r="AI12" s="68">
        <f t="shared" si="13"/>
        <v>4740</v>
      </c>
      <c r="AJ12" s="68">
        <f t="shared" si="1"/>
        <v>3</v>
      </c>
      <c r="AK12" s="68">
        <f t="shared" si="14"/>
        <v>2978</v>
      </c>
      <c r="AL12" s="68">
        <f t="shared" si="2"/>
        <v>12</v>
      </c>
      <c r="AM12" s="68">
        <f t="shared" si="3"/>
        <v>2.97022</v>
      </c>
    </row>
    <row r="13" spans="1:39" s="72" customFormat="1" ht="52.5" customHeight="1">
      <c r="A13" s="147">
        <f>IF(OR(ISNUMBER(D13)=TRUE,ISNUMBER(I13)=TRUE,ISNUMBER(N13)=TRUE,ISNUMBER(S13)=TRUE,ISNUMBER(X13)=TRUE),4,"")</f>
        <v>4</v>
      </c>
      <c r="B13" s="161" t="str">
        <f>IF(ISBLANK('Prijava ekipa i izvlačenje br.'!C5)=TRUE,"",'Prijava ekipa i izvlačenje br.'!C5)</f>
        <v>Bjelovar Bjelovar</v>
      </c>
      <c r="C13" s="163" t="str">
        <f>IF(COUNTIF('Prijava ekipa i izvlačenje br.'!$E5,"A")=1,'Prijava ekipa i izvlačenje br.'!$D5,IF(COUNTIF('Prijava ekipa i izvlačenje br.'!$H5,"A")=1,'Prijava ekipa i izvlačenje br.'!$G5,IF(COUNTIF('Prijava ekipa i izvlačenje br.'!$K5,"A")=1,'Prijava ekipa i izvlačenje br.'!$J5,IF(COUNTIF('Prijava ekipa i izvlačenje br.'!$N5,"A")=1,'Prijava ekipa i izvlačenje br.'!$M5,IF(COUNTIF('Prijava ekipa i izvlačenje br.'!$Q5,"A")=1,'Prijava ekipa i izvlačenje br.'!$P5,"")))))</f>
        <v>Emil Lukman</v>
      </c>
      <c r="D13" s="95">
        <f>IF(AND(ISNUMBER('Prijava ekipa i izvlačenje br.'!A5)=TRUE,ISNUMBER(E13)=TRUE),'Prijava ekipa i izvlačenje br.'!A5,IF(AND(ISNUMBER('Prijava ekipa i izvlačenje br.'!F5)=TRUE,COUNTIF('Prijava ekipa i izvlačenje br.'!$E5,"A")=1),'Prijava ekipa i izvlačenje br.'!F5,IF(AND(ISNUMBER('Prijava ekipa i izvlačenje br.'!I5)=TRUE,COUNTIF('Prijava ekipa i izvlačenje br.'!$H5,"A")=1),'Prijava ekipa i izvlačenje br.'!I5,IF(AND(ISNUMBER('Prijava ekipa i izvlačenje br.'!L5)=TRUE,COUNTIF('Prijava ekipa i izvlačenje br.'!$K5,"A")=1),'Prijava ekipa i izvlačenje br.'!L5,IF(AND(ISNUMBER('Prijava ekipa i izvlačenje br.'!O5)=TRUE,COUNTIF('Prijava ekipa i izvlačenje br.'!$N5,"A")=1),'Prijava ekipa i izvlačenje br.'!O5,IF(AND(ISNUMBER('Prijava ekipa i izvlačenje br.'!R5)=TRUE,COUNTIF('Prijava ekipa i izvlačenje br.'!$Q5,"A")=1),'Prijava ekipa i izvlačenje br.'!R5,""))))))</f>
        <v>4</v>
      </c>
      <c r="E13" s="112">
        <f>IF(ISBLANK('Upis rezultata A sektora'!F5)=TRUE,"",'Upis rezultata A sektora'!F5)</f>
        <v>905</v>
      </c>
      <c r="F13" s="112">
        <f>IF(ISBLANK('Upis rezultata A sektora'!B5)=TRUE,"",'Upis rezultata A sektora'!B5)</f>
        <v>10.5</v>
      </c>
      <c r="G13" s="117">
        <f t="shared" si="4"/>
        <v>52</v>
      </c>
      <c r="H13" s="157" t="str">
        <f>IF(COUNTIF('Prijava ekipa i izvlačenje br.'!$E5,"B")=1,'Prijava ekipa i izvlačenje br.'!$D5,IF(COUNTIF('Prijava ekipa i izvlačenje br.'!$H5,"B")=1,'Prijava ekipa i izvlačenje br.'!$G5,IF(COUNTIF('Prijava ekipa i izvlačenje br.'!$K5,"B")=1,'Prijava ekipa i izvlačenje br.'!$J5,IF(COUNTIF('Prijava ekipa i izvlačenje br.'!$N5,"B")=1,'Prijava ekipa i izvlačenje br.'!$M5,IF(COUNTIF('Prijava ekipa i izvlačenje br.'!$Q5,"B")=1,'Prijava ekipa i izvlačenje br.'!$P5,"")))))</f>
        <v>Vladimir Šuker</v>
      </c>
      <c r="I13" s="95">
        <f>IF(AND(ISNUMBER('Prijava ekipa i izvlačenje br.'!A5)=TRUE,ISNUMBER(J13)=TRUE),'Prijava ekipa i izvlačenje br.'!A5,IF(AND(ISNUMBER('Prijava ekipa i izvlačenje br.'!F5)=TRUE,COUNTIF('Prijava ekipa i izvlačenje br.'!$E5,"B")=1),'Prijava ekipa i izvlačenje br.'!F5,IF(AND(ISNUMBER('Prijava ekipa i izvlačenje br.'!I5)=TRUE,COUNTIF('Prijava ekipa i izvlačenje br.'!$H5,"B")=1),'Prijava ekipa i izvlačenje br.'!I5,IF(AND(ISNUMBER('Prijava ekipa i izvlačenje br.'!L5)=TRUE,COUNTIF('Prijava ekipa i izvlačenje br.'!$K5,"B")=1),'Prijava ekipa i izvlačenje br.'!L5,IF(AND(ISNUMBER('Prijava ekipa i izvlačenje br.'!O5)=TRUE,COUNTIF('Prijava ekipa i izvlačenje br.'!$N5,"B")=1),'Prijava ekipa i izvlačenje br.'!O5,IF(AND(ISNUMBER('Prijava ekipa i izvlačenje br.'!R5)=TRUE,COUNTIF('Prijava ekipa i izvlačenje br.'!$Q5,"B")=1),'Prijava ekipa i izvlačenje br.'!R5,""))))))</f>
        <v>4</v>
      </c>
      <c r="J13" s="112">
        <f>IF(ISBLANK('Upis rezultata B sektora'!F5)=TRUE,"",'Upis rezultata B sektora'!F5)</f>
        <v>2320</v>
      </c>
      <c r="K13" s="112">
        <f>IF(ISBLANK('Upis rezultata B sektora'!B5)=TRUE,"",'Upis rezultata B sektora'!B5)</f>
        <v>5</v>
      </c>
      <c r="L13" s="158">
        <f t="shared" si="5"/>
        <v>21</v>
      </c>
      <c r="M13" s="94" t="str">
        <f>IF(COUNTIF('Prijava ekipa i izvlačenje br.'!$E5,"C")=1,'Prijava ekipa i izvlačenje br.'!$D5,IF(COUNTIF('Prijava ekipa i izvlačenje br.'!$H5,"C")=1,'Prijava ekipa i izvlačenje br.'!$G5,IF(COUNTIF('Prijava ekipa i izvlačenje br.'!$K5,"C")=1,'Prijava ekipa i izvlačenje br.'!$J5,IF(COUNTIF('Prijava ekipa i izvlačenje br.'!$N5,"C")=1,'Prijava ekipa i izvlačenje br.'!$M5,IF(COUNTIF('Prijava ekipa i izvlačenje br.'!$Q5,"C")=1,'Prijava ekipa i izvlačenje br.'!$P5,"")))))</f>
        <v>Ivo Begović</v>
      </c>
      <c r="N13" s="95">
        <f>IF(AND(ISNUMBER('Prijava ekipa i izvlačenje br.'!A5)=TRUE,ISNUMBER(O13)),'Prijava ekipa i izvlačenje br.'!A5,IF(AND(ISNUMBER('Prijava ekipa i izvlačenje br.'!F5)=TRUE,COUNTIF('Prijava ekipa i izvlačenje br.'!$E5,"C")=1),'Prijava ekipa i izvlačenje br.'!F5,IF(AND(ISNUMBER('Prijava ekipa i izvlačenje br.'!I5)=TRUE,COUNTIF('Prijava ekipa i izvlačenje br.'!$H5,"C")=1),'Prijava ekipa i izvlačenje br.'!I5,IF(AND(ISNUMBER('Prijava ekipa i izvlačenje br.'!L5)=TRUE,COUNTIF('Prijava ekipa i izvlačenje br.'!$K5,"C")=1),'Prijava ekipa i izvlačenje br.'!L5,IF(AND(ISNUMBER('Prijava ekipa i izvlačenje br.'!O5)=TRUE,COUNTIF('Prijava ekipa i izvlačenje br.'!$N5,"C")=1),'Prijava ekipa i izvlačenje br.'!O5,IF(AND(ISNUMBER('Prijava ekipa i izvlačenje br.'!R5)=TRUE,COUNTIF('Prijava ekipa i izvlačenje br.'!$Q5,"C")=1),'Prijava ekipa i izvlačenje br.'!R5,""))))))</f>
        <v>4</v>
      </c>
      <c r="O13" s="112">
        <f>IF(ISBLANK('Upis rezultata C sektora'!F5)=TRUE,"",'Upis rezultata C sektora'!F5)</f>
        <v>670</v>
      </c>
      <c r="P13" s="112">
        <f>IF(ISBLANK('Upis rezultata C sektora'!B5)=TRUE,"",'Upis rezultata C sektora'!B5)</f>
        <v>11</v>
      </c>
      <c r="Q13" s="155">
        <f t="shared" si="6"/>
        <v>55</v>
      </c>
      <c r="R13" s="157" t="str">
        <f>IF(COUNTIF('Prijava ekipa i izvlačenje br.'!$E5,"D")=1,'Prijava ekipa i izvlačenje br.'!$D5,IF(COUNTIF('Prijava ekipa i izvlačenje br.'!$H5,"D")=1,'Prijava ekipa i izvlačenje br.'!$G5,IF(COUNTIF('Prijava ekipa i izvlačenje br.'!$K5,"D")=1,'Prijava ekipa i izvlačenje br.'!$J5,IF(COUNTIF('Prijava ekipa i izvlačenje br.'!$N5,"D")=1,'Prijava ekipa i izvlačenje br.'!$M5,IF(COUNTIF('Prijava ekipa i izvlačenje br.'!$Q5,"D")=1,'Prijava ekipa i izvlačenje br.'!$P5,"")))))</f>
        <v>Marijan Jurić</v>
      </c>
      <c r="S13" s="95">
        <f>IF(AND(ISNUMBER('Prijava ekipa i izvlačenje br.'!A5)=TRUE,ISNUMBER(T13)=TRUE),'Prijava ekipa i izvlačenje br.'!A5,IF(AND(ISNUMBER('Prijava ekipa i izvlačenje br.'!F5)=TRUE,COUNTIF('Prijava ekipa i izvlačenje br.'!$E5,"D")=1),'Prijava ekipa i izvlačenje br.'!F5,IF(AND(ISNUMBER('Prijava ekipa i izvlačenje br.'!I5)=TRUE,COUNTIF('Prijava ekipa i izvlačenje br.'!$H5,"D")=1),'Prijava ekipa i izvlačenje br.'!I5,IF(AND(ISNUMBER('Prijava ekipa i izvlačenje br.'!L5)=TRUE,COUNTIF('Prijava ekipa i izvlačenje br.'!$K5,"D")=1),'Prijava ekipa i izvlačenje br.'!L5,IF(AND(ISNUMBER('Prijava ekipa i izvlačenje br.'!O5)=TRUE,COUNTIF('Prijava ekipa i izvlačenje br.'!$N5,"D")=1),'Prijava ekipa i izvlačenje br.'!O5,IF(AND(ISNUMBER('Prijava ekipa i izvlačenje br.'!R5)=TRUE,COUNTIF('Prijava ekipa i izvlačenje br.'!$Q5,"D")=1),'Prijava ekipa i izvlačenje br.'!R5,""))))))</f>
        <v>4</v>
      </c>
      <c r="T13" s="112">
        <f>IF(ISBLANK('Upis rezultata D sektora'!F5)=TRUE,"",'Upis rezultata D sektora'!F5)</f>
        <v>1325</v>
      </c>
      <c r="U13" s="112">
        <f>IF(ISBLANK('Upis rezultata D sektora'!B5)=TRUE,"",'Upis rezultata D sektora'!B5)</f>
        <v>9</v>
      </c>
      <c r="V13" s="158">
        <f t="shared" si="7"/>
        <v>43</v>
      </c>
      <c r="W13" s="94" t="str">
        <f>IF(COUNTIF('Prijava ekipa i izvlačenje br.'!$E5,"E")=1,'Prijava ekipa i izvlačenje br.'!$D5,IF(COUNTIF('Prijava ekipa i izvlačenje br.'!$H5,"E")=1,'Prijava ekipa i izvlačenje br.'!$G5,IF(COUNTIF('Prijava ekipa i izvlačenje br.'!$K5,"E")=1,'Prijava ekipa i izvlačenje br.'!$J5,IF(COUNTIF('Prijava ekipa i izvlačenje br.'!$N5,"E")=1,'Prijava ekipa i izvlačenje br.'!$M5,IF(COUNTIF('Prijava ekipa i izvlačenje br.'!$Q5,"E")=1,'Prijava ekipa i izvlačenje br.'!$P5,"")))))</f>
        <v>Dražen Štajduhar</v>
      </c>
      <c r="X13" s="95">
        <f>IF(AND(ISNUMBER('Prijava ekipa i izvlačenje br.'!A5)=TRUE,ISNUMBER(Y13)=TRUE),'Prijava ekipa i izvlačenje br.'!A5,IF(AND(ISNUMBER('Prijava ekipa i izvlačenje br.'!F5)=TRUE,COUNTIF('Prijava ekipa i izvlačenje br.'!$E5,"E")=1),'Prijava ekipa i izvlačenje br.'!F5,IF(AND(ISNUMBER('Prijava ekipa i izvlačenje br.'!I5)=TRUE,COUNTIF('Prijava ekipa i izvlačenje br.'!$H5,"E")=1),'Prijava ekipa i izvlačenje br.'!I5,IF(AND(ISNUMBER('Prijava ekipa i izvlačenje br.'!L5)=TRUE,COUNTIF('Prijava ekipa i izvlačenje br.'!$K5,"E")=1),'Prijava ekipa i izvlačenje br.'!L5,IF(AND(ISNUMBER('Prijava ekipa i izvlačenje br.'!O5)=TRUE,COUNTIF('Prijava ekipa i izvlačenje br.'!$N5,"E")=1),'Prijava ekipa i izvlačenje br.'!O5,IF(AND(ISNUMBER('Prijava ekipa i izvlačenje br.'!R5)=TRUE,COUNTIF('Prijava ekipa i izvlačenje br.'!$Q5,"E")=1),'Prijava ekipa i izvlačenje br.'!R5,""))))))</f>
        <v>4</v>
      </c>
      <c r="Y13" s="112">
        <f>IF(ISBLANK('Upis rezultata E sektora'!F5)=TRUE,"",'Upis rezultata E sektora'!F5)</f>
        <v>1256</v>
      </c>
      <c r="Z13" s="112">
        <f>IF(ISBLANK('Upis rezultata E sektora'!B5)=TRUE,"",'Upis rezultata E sektora'!B5)</f>
        <v>10.5</v>
      </c>
      <c r="AA13" s="117">
        <f t="shared" si="8"/>
        <v>48</v>
      </c>
      <c r="AB13" s="113">
        <f t="shared" si="9"/>
        <v>46</v>
      </c>
      <c r="AC13" s="112">
        <f t="shared" si="10"/>
        <v>6476</v>
      </c>
      <c r="AD13" s="148">
        <f t="shared" si="0"/>
        <v>12</v>
      </c>
      <c r="AG13" s="197">
        <f t="shared" si="11"/>
        <v>6476</v>
      </c>
      <c r="AH13" s="68">
        <f t="shared" si="12"/>
        <v>45.93523768</v>
      </c>
      <c r="AI13" s="68">
        <f t="shared" si="13"/>
        <v>2320</v>
      </c>
      <c r="AJ13" s="68">
        <f t="shared" si="1"/>
        <v>10.5</v>
      </c>
      <c r="AK13" s="68">
        <f t="shared" si="14"/>
        <v>905</v>
      </c>
      <c r="AL13" s="68">
        <f t="shared" si="2"/>
        <v>52</v>
      </c>
      <c r="AM13" s="68">
        <f t="shared" si="3"/>
        <v>10.49095</v>
      </c>
    </row>
    <row r="14" spans="1:39" s="72" customFormat="1" ht="52.5" customHeight="1">
      <c r="A14" s="147">
        <f>IF(OR(ISNUMBER(D14)=TRUE,ISNUMBER(I14)=TRUE,ISNUMBER(N14)=TRUE,ISNUMBER(S14)=TRUE,ISNUMBER(X14)=TRUE),5,"")</f>
        <v>5</v>
      </c>
      <c r="B14" s="161" t="str">
        <f>IF(ISBLANK('Prijava ekipa i izvlačenje br.'!C6)=TRUE,"",'Prijava ekipa i izvlačenje br.'!C6)</f>
        <v>Varaždin Varaždin</v>
      </c>
      <c r="C14" s="163" t="str">
        <f>IF(COUNTIF('Prijava ekipa i izvlačenje br.'!$E6,"A")=1,'Prijava ekipa i izvlačenje br.'!$D6,IF(COUNTIF('Prijava ekipa i izvlačenje br.'!$H6,"A")=1,'Prijava ekipa i izvlačenje br.'!$G6,IF(COUNTIF('Prijava ekipa i izvlačenje br.'!$K6,"A")=1,'Prijava ekipa i izvlačenje br.'!$J6,IF(COUNTIF('Prijava ekipa i izvlačenje br.'!$N6,"A")=1,'Prijava ekipa i izvlačenje br.'!$M6,IF(COUNTIF('Prijava ekipa i izvlačenje br.'!$Q6,"A")=1,'Prijava ekipa i izvlačenje br.'!$P6,"")))))</f>
        <v>Ivica Bonino Hasan</v>
      </c>
      <c r="D14" s="95">
        <f>IF(AND(ISNUMBER('Prijava ekipa i izvlačenje br.'!A6)=TRUE,ISNUMBER(E14)=TRUE),'Prijava ekipa i izvlačenje br.'!A6,IF(AND(ISNUMBER('Prijava ekipa i izvlačenje br.'!F6)=TRUE,COUNTIF('Prijava ekipa i izvlačenje br.'!$E6,"A")=1),'Prijava ekipa i izvlačenje br.'!F6,IF(AND(ISNUMBER('Prijava ekipa i izvlačenje br.'!I6)=TRUE,COUNTIF('Prijava ekipa i izvlačenje br.'!$H6,"A")=1),'Prijava ekipa i izvlačenje br.'!I6,IF(AND(ISNUMBER('Prijava ekipa i izvlačenje br.'!L6)=TRUE,COUNTIF('Prijava ekipa i izvlačenje br.'!$K6,"A")=1),'Prijava ekipa i izvlačenje br.'!L6,IF(AND(ISNUMBER('Prijava ekipa i izvlačenje br.'!O6)=TRUE,COUNTIF('Prijava ekipa i izvlačenje br.'!$N6,"A")=1),'Prijava ekipa i izvlačenje br.'!O6,IF(AND(ISNUMBER('Prijava ekipa i izvlačenje br.'!R6)=TRUE,COUNTIF('Prijava ekipa i izvlačenje br.'!$Q6,"A")=1),'Prijava ekipa i izvlačenje br.'!R6,""))))))</f>
        <v>5</v>
      </c>
      <c r="E14" s="112">
        <f>IF(ISBLANK('Upis rezultata A sektora'!F6)=TRUE,"",'Upis rezultata A sektora'!F6)</f>
        <v>475</v>
      </c>
      <c r="F14" s="112">
        <f>IF(ISBLANK('Upis rezultata A sektora'!B6)=TRUE,"",'Upis rezultata A sektora'!B6)</f>
        <v>12</v>
      </c>
      <c r="G14" s="117">
        <f t="shared" si="4"/>
        <v>60</v>
      </c>
      <c r="H14" s="157" t="str">
        <f>IF(COUNTIF('Prijava ekipa i izvlačenje br.'!$E6,"B")=1,'Prijava ekipa i izvlačenje br.'!$D6,IF(COUNTIF('Prijava ekipa i izvlačenje br.'!$H6,"B")=1,'Prijava ekipa i izvlačenje br.'!$G6,IF(COUNTIF('Prijava ekipa i izvlačenje br.'!$K6,"B")=1,'Prijava ekipa i izvlačenje br.'!$J6,IF(COUNTIF('Prijava ekipa i izvlačenje br.'!$N6,"B")=1,'Prijava ekipa i izvlačenje br.'!$M6,IF(COUNTIF('Prijava ekipa i izvlačenje br.'!$Q6,"B")=1,'Prijava ekipa i izvlačenje br.'!$P6,"")))))</f>
        <v>Tihomir Hunjak</v>
      </c>
      <c r="I14" s="95">
        <f>IF(AND(ISNUMBER('Prijava ekipa i izvlačenje br.'!A6)=TRUE,ISNUMBER(J14)=TRUE),'Prijava ekipa i izvlačenje br.'!A6,IF(AND(ISNUMBER('Prijava ekipa i izvlačenje br.'!F6)=TRUE,COUNTIF('Prijava ekipa i izvlačenje br.'!$E6,"B")=1),'Prijava ekipa i izvlačenje br.'!F6,IF(AND(ISNUMBER('Prijava ekipa i izvlačenje br.'!I6)=TRUE,COUNTIF('Prijava ekipa i izvlačenje br.'!$H6,"B")=1),'Prijava ekipa i izvlačenje br.'!I6,IF(AND(ISNUMBER('Prijava ekipa i izvlačenje br.'!L6)=TRUE,COUNTIF('Prijava ekipa i izvlačenje br.'!$K6,"B")=1),'Prijava ekipa i izvlačenje br.'!L6,IF(AND(ISNUMBER('Prijava ekipa i izvlačenje br.'!O6)=TRUE,COUNTIF('Prijava ekipa i izvlačenje br.'!$N6,"B")=1),'Prijava ekipa i izvlačenje br.'!O6,IF(AND(ISNUMBER('Prijava ekipa i izvlačenje br.'!R6)=TRUE,COUNTIF('Prijava ekipa i izvlačenje br.'!$Q6,"B")=1),'Prijava ekipa i izvlačenje br.'!R6,""))))))</f>
        <v>5</v>
      </c>
      <c r="J14" s="112">
        <f>IF(ISBLANK('Upis rezultata B sektora'!F6)=TRUE,"",'Upis rezultata B sektora'!F6)</f>
        <v>1004</v>
      </c>
      <c r="K14" s="112">
        <f>IF(ISBLANK('Upis rezultata B sektora'!B6)=TRUE,"",'Upis rezultata B sektora'!B6)</f>
        <v>12</v>
      </c>
      <c r="L14" s="158">
        <f t="shared" si="5"/>
        <v>57</v>
      </c>
      <c r="M14" s="94" t="str">
        <f>IF(COUNTIF('Prijava ekipa i izvlačenje br.'!$E6,"C")=1,'Prijava ekipa i izvlačenje br.'!$D6,IF(COUNTIF('Prijava ekipa i izvlačenje br.'!$H6,"C")=1,'Prijava ekipa i izvlačenje br.'!$G6,IF(COUNTIF('Prijava ekipa i izvlačenje br.'!$K6,"C")=1,'Prijava ekipa i izvlačenje br.'!$J6,IF(COUNTIF('Prijava ekipa i izvlačenje br.'!$N6,"C")=1,'Prijava ekipa i izvlačenje br.'!$M6,IF(COUNTIF('Prijava ekipa i izvlačenje br.'!$Q6,"C")=1,'Prijava ekipa i izvlačenje br.'!$P6,"")))))</f>
        <v>Marijan Lisjak</v>
      </c>
      <c r="N14" s="95">
        <f>IF(AND(ISNUMBER('Prijava ekipa i izvlačenje br.'!A6)=TRUE,ISNUMBER(O14)),'Prijava ekipa i izvlačenje br.'!A6,IF(AND(ISNUMBER('Prijava ekipa i izvlačenje br.'!F6)=TRUE,COUNTIF('Prijava ekipa i izvlačenje br.'!$E6,"C")=1),'Prijava ekipa i izvlačenje br.'!F6,IF(AND(ISNUMBER('Prijava ekipa i izvlačenje br.'!I6)=TRUE,COUNTIF('Prijava ekipa i izvlačenje br.'!$H6,"C")=1),'Prijava ekipa i izvlačenje br.'!I6,IF(AND(ISNUMBER('Prijava ekipa i izvlačenje br.'!L6)=TRUE,COUNTIF('Prijava ekipa i izvlačenje br.'!$K6,"C")=1),'Prijava ekipa i izvlačenje br.'!L6,IF(AND(ISNUMBER('Prijava ekipa i izvlačenje br.'!O6)=TRUE,COUNTIF('Prijava ekipa i izvlačenje br.'!$N6,"C")=1),'Prijava ekipa i izvlačenje br.'!O6,IF(AND(ISNUMBER('Prijava ekipa i izvlačenje br.'!R6)=TRUE,COUNTIF('Prijava ekipa i izvlačenje br.'!$Q6,"C")=1),'Prijava ekipa i izvlačenje br.'!R6,""))))))</f>
        <v>5</v>
      </c>
      <c r="O14" s="112">
        <f>IF(ISBLANK('Upis rezultata C sektora'!F6)=TRUE,"",'Upis rezultata C sektora'!F6)</f>
        <v>930</v>
      </c>
      <c r="P14" s="112">
        <f>IF(ISBLANK('Upis rezultata C sektora'!B6)=TRUE,"",'Upis rezultata C sektora'!B6)</f>
        <v>10</v>
      </c>
      <c r="Q14" s="155">
        <f t="shared" si="6"/>
        <v>47</v>
      </c>
      <c r="R14" s="157" t="str">
        <f>IF(COUNTIF('Prijava ekipa i izvlačenje br.'!$E6,"D")=1,'Prijava ekipa i izvlačenje br.'!$D6,IF(COUNTIF('Prijava ekipa i izvlačenje br.'!$H6,"D")=1,'Prijava ekipa i izvlačenje br.'!$G6,IF(COUNTIF('Prijava ekipa i izvlačenje br.'!$K6,"D")=1,'Prijava ekipa i izvlačenje br.'!$J6,IF(COUNTIF('Prijava ekipa i izvlačenje br.'!$N6,"D")=1,'Prijava ekipa i izvlačenje br.'!$M6,IF(COUNTIF('Prijava ekipa i izvlačenje br.'!$Q6,"D")=1,'Prijava ekipa i izvlačenje br.'!$P6,"")))))</f>
        <v>Damir Škorić</v>
      </c>
      <c r="S14" s="95">
        <f>IF(AND(ISNUMBER('Prijava ekipa i izvlačenje br.'!A6)=TRUE,ISNUMBER(T14)=TRUE),'Prijava ekipa i izvlačenje br.'!A6,IF(AND(ISNUMBER('Prijava ekipa i izvlačenje br.'!F6)=TRUE,COUNTIF('Prijava ekipa i izvlačenje br.'!$E6,"D")=1),'Prijava ekipa i izvlačenje br.'!F6,IF(AND(ISNUMBER('Prijava ekipa i izvlačenje br.'!I6)=TRUE,COUNTIF('Prijava ekipa i izvlačenje br.'!$H6,"D")=1),'Prijava ekipa i izvlačenje br.'!I6,IF(AND(ISNUMBER('Prijava ekipa i izvlačenje br.'!L6)=TRUE,COUNTIF('Prijava ekipa i izvlačenje br.'!$K6,"D")=1),'Prijava ekipa i izvlačenje br.'!L6,IF(AND(ISNUMBER('Prijava ekipa i izvlačenje br.'!O6)=TRUE,COUNTIF('Prijava ekipa i izvlačenje br.'!$N6,"D")=1),'Prijava ekipa i izvlačenje br.'!O6,IF(AND(ISNUMBER('Prijava ekipa i izvlačenje br.'!R6)=TRUE,COUNTIF('Prijava ekipa i izvlačenje br.'!$Q6,"D")=1),'Prijava ekipa i izvlačenje br.'!R6,""))))))</f>
        <v>5</v>
      </c>
      <c r="T14" s="112">
        <f>IF(ISBLANK('Upis rezultata D sektora'!F6)=TRUE,"",'Upis rezultata D sektora'!F6)</f>
        <v>3700</v>
      </c>
      <c r="U14" s="112">
        <f>IF(ISBLANK('Upis rezultata D sektora'!B6)=TRUE,"",'Upis rezultata D sektora'!B6)</f>
        <v>2</v>
      </c>
      <c r="V14" s="158">
        <f t="shared" si="7"/>
        <v>9</v>
      </c>
      <c r="W14" s="94" t="str">
        <f>IF(COUNTIF('Prijava ekipa i izvlačenje br.'!$E6,"E")=1,'Prijava ekipa i izvlačenje br.'!$D6,IF(COUNTIF('Prijava ekipa i izvlačenje br.'!$H6,"E")=1,'Prijava ekipa i izvlačenje br.'!$G6,IF(COUNTIF('Prijava ekipa i izvlačenje br.'!$K6,"E")=1,'Prijava ekipa i izvlačenje br.'!$J6,IF(COUNTIF('Prijava ekipa i izvlačenje br.'!$N6,"E")=1,'Prijava ekipa i izvlačenje br.'!$M6,IF(COUNTIF('Prijava ekipa i izvlačenje br.'!$Q6,"E")=1,'Prijava ekipa i izvlačenje br.'!$P6,"")))))</f>
        <v>Kristijan Kosmačin</v>
      </c>
      <c r="X14" s="95">
        <f>IF(AND(ISNUMBER('Prijava ekipa i izvlačenje br.'!A6)=TRUE,ISNUMBER(Y14)=TRUE),'Prijava ekipa i izvlačenje br.'!A6,IF(AND(ISNUMBER('Prijava ekipa i izvlačenje br.'!F6)=TRUE,COUNTIF('Prijava ekipa i izvlačenje br.'!$E6,"E")=1),'Prijava ekipa i izvlačenje br.'!F6,IF(AND(ISNUMBER('Prijava ekipa i izvlačenje br.'!I6)=TRUE,COUNTIF('Prijava ekipa i izvlačenje br.'!$H6,"E")=1),'Prijava ekipa i izvlačenje br.'!I6,IF(AND(ISNUMBER('Prijava ekipa i izvlačenje br.'!L6)=TRUE,COUNTIF('Prijava ekipa i izvlačenje br.'!$K6,"E")=1),'Prijava ekipa i izvlačenje br.'!L6,IF(AND(ISNUMBER('Prijava ekipa i izvlačenje br.'!O6)=TRUE,COUNTIF('Prijava ekipa i izvlačenje br.'!$N6,"E")=1),'Prijava ekipa i izvlačenje br.'!O6,IF(AND(ISNUMBER('Prijava ekipa i izvlačenje br.'!R6)=TRUE,COUNTIF('Prijava ekipa i izvlačenje br.'!$Q6,"E")=1),'Prijava ekipa i izvlačenje br.'!R6,""))))))</f>
        <v>5</v>
      </c>
      <c r="Y14" s="112">
        <f>IF(ISBLANK('Upis rezultata E sektora'!F6)=TRUE,"",'Upis rezultata E sektora'!F6)</f>
        <v>1325</v>
      </c>
      <c r="Z14" s="112">
        <f>IF(ISBLANK('Upis rezultata E sektora'!B6)=TRUE,"",'Upis rezultata E sektora'!B6)</f>
        <v>8.5</v>
      </c>
      <c r="AA14" s="117">
        <f t="shared" si="8"/>
        <v>41</v>
      </c>
      <c r="AB14" s="113">
        <f t="shared" si="9"/>
        <v>44.5</v>
      </c>
      <c r="AC14" s="112">
        <f t="shared" si="10"/>
        <v>7434</v>
      </c>
      <c r="AD14" s="148">
        <f t="shared" si="0"/>
        <v>11</v>
      </c>
      <c r="AG14" s="197">
        <f t="shared" si="11"/>
        <v>7434</v>
      </c>
      <c r="AH14" s="68">
        <f t="shared" si="12"/>
        <v>44.4256563</v>
      </c>
      <c r="AI14" s="68">
        <f t="shared" si="13"/>
        <v>3700</v>
      </c>
      <c r="AJ14" s="68">
        <f t="shared" si="1"/>
        <v>12</v>
      </c>
      <c r="AK14" s="68">
        <f t="shared" si="14"/>
        <v>475</v>
      </c>
      <c r="AL14" s="68">
        <f t="shared" si="2"/>
        <v>60</v>
      </c>
      <c r="AM14" s="68">
        <f t="shared" si="3"/>
        <v>11.99525</v>
      </c>
    </row>
    <row r="15" spans="1:39" s="72" customFormat="1" ht="52.5" customHeight="1">
      <c r="A15" s="147">
        <f>IF(OR(ISNUMBER(D15)=TRUE,ISNUMBER(I15)=TRUE,ISNUMBER(N15)=TRUE,ISNUMBER(S15)=TRUE,ISNUMBER(X15)=TRUE),6,"")</f>
        <v>6</v>
      </c>
      <c r="B15" s="161" t="str">
        <f>IF(ISBLANK('Prijava ekipa i izvlačenje br.'!C7)=TRUE,"",'Prijava ekipa i izvlačenje br.'!C7)</f>
        <v>Azzuro Varaždin</v>
      </c>
      <c r="C15" s="163" t="str">
        <f>IF(COUNTIF('Prijava ekipa i izvlačenje br.'!$E7,"A")=1,'Prijava ekipa i izvlačenje br.'!$D7,IF(COUNTIF('Prijava ekipa i izvlačenje br.'!$H7,"A")=1,'Prijava ekipa i izvlačenje br.'!$G7,IF(COUNTIF('Prijava ekipa i izvlačenje br.'!$K7,"A")=1,'Prijava ekipa i izvlačenje br.'!$J7,IF(COUNTIF('Prijava ekipa i izvlačenje br.'!$N7,"A")=1,'Prijava ekipa i izvlačenje br.'!$M7,IF(COUNTIF('Prijava ekipa i izvlačenje br.'!$Q7,"A")=1,'Prijava ekipa i izvlačenje br.'!$P7,"")))))</f>
        <v>Dražen Bajzek</v>
      </c>
      <c r="D15" s="95">
        <f>IF(AND(ISNUMBER('Prijava ekipa i izvlačenje br.'!A7)=TRUE,ISNUMBER(E15)=TRUE),'Prijava ekipa i izvlačenje br.'!A7,IF(AND(ISNUMBER('Prijava ekipa i izvlačenje br.'!F7)=TRUE,COUNTIF('Prijava ekipa i izvlačenje br.'!$E7,"A")=1),'Prijava ekipa i izvlačenje br.'!F7,IF(AND(ISNUMBER('Prijava ekipa i izvlačenje br.'!I7)=TRUE,COUNTIF('Prijava ekipa i izvlačenje br.'!$H7,"A")=1),'Prijava ekipa i izvlačenje br.'!I7,IF(AND(ISNUMBER('Prijava ekipa i izvlačenje br.'!L7)=TRUE,COUNTIF('Prijava ekipa i izvlačenje br.'!$K7,"A")=1),'Prijava ekipa i izvlačenje br.'!L7,IF(AND(ISNUMBER('Prijava ekipa i izvlačenje br.'!O7)=TRUE,COUNTIF('Prijava ekipa i izvlačenje br.'!$N7,"A")=1),'Prijava ekipa i izvlačenje br.'!O7,IF(AND(ISNUMBER('Prijava ekipa i izvlačenje br.'!R7)=TRUE,COUNTIF('Prijava ekipa i izvlačenje br.'!$Q7,"A")=1),'Prijava ekipa i izvlačenje br.'!R7,""))))))</f>
        <v>6</v>
      </c>
      <c r="E15" s="112">
        <f>IF(ISBLANK('Upis rezultata A sektora'!F7)=TRUE,"",'Upis rezultata A sektora'!F7)</f>
        <v>2105</v>
      </c>
      <c r="F15" s="112">
        <f>IF(ISBLANK('Upis rezultata A sektora'!B7)=TRUE,"",'Upis rezultata A sektora'!B7)</f>
        <v>5</v>
      </c>
      <c r="G15" s="117">
        <f t="shared" si="4"/>
        <v>22</v>
      </c>
      <c r="H15" s="157" t="str">
        <f>IF(COUNTIF('Prijava ekipa i izvlačenje br.'!$E7,"B")=1,'Prijava ekipa i izvlačenje br.'!$D7,IF(COUNTIF('Prijava ekipa i izvlačenje br.'!$H7,"B")=1,'Prijava ekipa i izvlačenje br.'!$G7,IF(COUNTIF('Prijava ekipa i izvlačenje br.'!$K7,"B")=1,'Prijava ekipa i izvlačenje br.'!$J7,IF(COUNTIF('Prijava ekipa i izvlačenje br.'!$N7,"B")=1,'Prijava ekipa i izvlačenje br.'!$M7,IF(COUNTIF('Prijava ekipa i izvlačenje br.'!$Q7,"B")=1,'Prijava ekipa i izvlačenje br.'!$P7,"")))))</f>
        <v>Zlatko Kračun</v>
      </c>
      <c r="I15" s="95">
        <f>IF(AND(ISNUMBER('Prijava ekipa i izvlačenje br.'!A7)=TRUE,ISNUMBER(J15)=TRUE),'Prijava ekipa i izvlačenje br.'!A7,IF(AND(ISNUMBER('Prijava ekipa i izvlačenje br.'!F7)=TRUE,COUNTIF('Prijava ekipa i izvlačenje br.'!$E7,"B")=1),'Prijava ekipa i izvlačenje br.'!F7,IF(AND(ISNUMBER('Prijava ekipa i izvlačenje br.'!I7)=TRUE,COUNTIF('Prijava ekipa i izvlačenje br.'!$H7,"B")=1),'Prijava ekipa i izvlačenje br.'!I7,IF(AND(ISNUMBER('Prijava ekipa i izvlačenje br.'!L7)=TRUE,COUNTIF('Prijava ekipa i izvlačenje br.'!$K7,"B")=1),'Prijava ekipa i izvlačenje br.'!L7,IF(AND(ISNUMBER('Prijava ekipa i izvlačenje br.'!O7)=TRUE,COUNTIF('Prijava ekipa i izvlačenje br.'!$N7,"B")=1),'Prijava ekipa i izvlačenje br.'!O7,IF(AND(ISNUMBER('Prijava ekipa i izvlačenje br.'!R7)=TRUE,COUNTIF('Prijava ekipa i izvlačenje br.'!$Q7,"B")=1),'Prijava ekipa i izvlačenje br.'!R7,""))))))</f>
        <v>6</v>
      </c>
      <c r="J15" s="112">
        <f>IF(ISBLANK('Upis rezultata B sektora'!F7)=TRUE,"",'Upis rezultata B sektora'!F7)</f>
        <v>1119</v>
      </c>
      <c r="K15" s="112">
        <f>IF(ISBLANK('Upis rezultata B sektora'!B7)=TRUE,"",'Upis rezultata B sektora'!B7)</f>
        <v>10.5</v>
      </c>
      <c r="L15" s="158">
        <f t="shared" si="5"/>
        <v>50</v>
      </c>
      <c r="M15" s="94" t="str">
        <f>IF(COUNTIF('Prijava ekipa i izvlačenje br.'!$E7,"C")=1,'Prijava ekipa i izvlačenje br.'!$D7,IF(COUNTIF('Prijava ekipa i izvlačenje br.'!$H7,"C")=1,'Prijava ekipa i izvlačenje br.'!$G7,IF(COUNTIF('Prijava ekipa i izvlačenje br.'!$K7,"C")=1,'Prijava ekipa i izvlačenje br.'!$J7,IF(COUNTIF('Prijava ekipa i izvlačenje br.'!$N7,"C")=1,'Prijava ekipa i izvlačenje br.'!$M7,IF(COUNTIF('Prijava ekipa i izvlačenje br.'!$Q7,"C")=1,'Prijava ekipa i izvlačenje br.'!$P7,"")))))</f>
        <v>Ljubo Matulin</v>
      </c>
      <c r="N15" s="95">
        <f>IF(AND(ISNUMBER('Prijava ekipa i izvlačenje br.'!A7)=TRUE,ISNUMBER(O15)),'Prijava ekipa i izvlačenje br.'!A7,IF(AND(ISNUMBER('Prijava ekipa i izvlačenje br.'!F7)=TRUE,COUNTIF('Prijava ekipa i izvlačenje br.'!$E7,"C")=1),'Prijava ekipa i izvlačenje br.'!F7,IF(AND(ISNUMBER('Prijava ekipa i izvlačenje br.'!I7)=TRUE,COUNTIF('Prijava ekipa i izvlačenje br.'!$H7,"C")=1),'Prijava ekipa i izvlačenje br.'!I7,IF(AND(ISNUMBER('Prijava ekipa i izvlačenje br.'!L7)=TRUE,COUNTIF('Prijava ekipa i izvlačenje br.'!$K7,"C")=1),'Prijava ekipa i izvlačenje br.'!L7,IF(AND(ISNUMBER('Prijava ekipa i izvlačenje br.'!O7)=TRUE,COUNTIF('Prijava ekipa i izvlačenje br.'!$N7,"C")=1),'Prijava ekipa i izvlačenje br.'!O7,IF(AND(ISNUMBER('Prijava ekipa i izvlačenje br.'!R7)=TRUE,COUNTIF('Prijava ekipa i izvlačenje br.'!$Q7,"C")=1),'Prijava ekipa i izvlačenje br.'!R7,""))))))</f>
        <v>6</v>
      </c>
      <c r="O15" s="112">
        <f>IF(ISBLANK('Upis rezultata C sektora'!F7)=TRUE,"",'Upis rezultata C sektora'!F7)</f>
        <v>2005</v>
      </c>
      <c r="P15" s="112">
        <f>IF(ISBLANK('Upis rezultata C sektora'!B7)=TRUE,"",'Upis rezultata C sektora'!B7)</f>
        <v>4</v>
      </c>
      <c r="Q15" s="155">
        <f t="shared" si="6"/>
        <v>19</v>
      </c>
      <c r="R15" s="157" t="str">
        <f>IF(COUNTIF('Prijava ekipa i izvlačenje br.'!$E7,"D")=1,'Prijava ekipa i izvlačenje br.'!$D7,IF(COUNTIF('Prijava ekipa i izvlačenje br.'!$H7,"D")=1,'Prijava ekipa i izvlačenje br.'!$G7,IF(COUNTIF('Prijava ekipa i izvlačenje br.'!$K7,"D")=1,'Prijava ekipa i izvlačenje br.'!$J7,IF(COUNTIF('Prijava ekipa i izvlačenje br.'!$N7,"D")=1,'Prijava ekipa i izvlačenje br.'!$M7,IF(COUNTIF('Prijava ekipa i izvlačenje br.'!$Q7,"D")=1,'Prijava ekipa i izvlačenje br.'!$P7,"")))))</f>
        <v>Mensur Rošić</v>
      </c>
      <c r="S15" s="95">
        <f>IF(AND(ISNUMBER('Prijava ekipa i izvlačenje br.'!A7)=TRUE,ISNUMBER(T15)=TRUE),'Prijava ekipa i izvlačenje br.'!A7,IF(AND(ISNUMBER('Prijava ekipa i izvlačenje br.'!F7)=TRUE,COUNTIF('Prijava ekipa i izvlačenje br.'!$E7,"D")=1),'Prijava ekipa i izvlačenje br.'!F7,IF(AND(ISNUMBER('Prijava ekipa i izvlačenje br.'!I7)=TRUE,COUNTIF('Prijava ekipa i izvlačenje br.'!$H7,"D")=1),'Prijava ekipa i izvlačenje br.'!I7,IF(AND(ISNUMBER('Prijava ekipa i izvlačenje br.'!L7)=TRUE,COUNTIF('Prijava ekipa i izvlačenje br.'!$K7,"D")=1),'Prijava ekipa i izvlačenje br.'!L7,IF(AND(ISNUMBER('Prijava ekipa i izvlačenje br.'!O7)=TRUE,COUNTIF('Prijava ekipa i izvlačenje br.'!$N7,"D")=1),'Prijava ekipa i izvlačenje br.'!O7,IF(AND(ISNUMBER('Prijava ekipa i izvlačenje br.'!R7)=TRUE,COUNTIF('Prijava ekipa i izvlačenje br.'!$Q7,"D")=1),'Prijava ekipa i izvlačenje br.'!R7,""))))))</f>
        <v>6</v>
      </c>
      <c r="T15" s="112">
        <f>IF(ISBLANK('Upis rezultata D sektora'!F7)=TRUE,"",'Upis rezultata D sektora'!F7)</f>
        <v>1354</v>
      </c>
      <c r="U15" s="112">
        <f>IF(ISBLANK('Upis rezultata D sektora'!B7)=TRUE,"",'Upis rezultata D sektora'!B7)</f>
        <v>8</v>
      </c>
      <c r="V15" s="158">
        <f t="shared" si="7"/>
        <v>37</v>
      </c>
      <c r="W15" s="94" t="str">
        <f>IF(COUNTIF('Prijava ekipa i izvlačenje br.'!$E7,"E")=1,'Prijava ekipa i izvlačenje br.'!$D7,IF(COUNTIF('Prijava ekipa i izvlačenje br.'!$H7,"E")=1,'Prijava ekipa i izvlačenje br.'!$G7,IF(COUNTIF('Prijava ekipa i izvlačenje br.'!$K7,"E")=1,'Prijava ekipa i izvlačenje br.'!$J7,IF(COUNTIF('Prijava ekipa i izvlačenje br.'!$N7,"E")=1,'Prijava ekipa i izvlačenje br.'!$M7,IF(COUNTIF('Prijava ekipa i izvlačenje br.'!$Q7,"E")=1,'Prijava ekipa i izvlačenje br.'!$P7,"")))))</f>
        <v>Davor Florijanić</v>
      </c>
      <c r="X15" s="95">
        <f>IF(AND(ISNUMBER('Prijava ekipa i izvlačenje br.'!A7)=TRUE,ISNUMBER(Y15)=TRUE),'Prijava ekipa i izvlačenje br.'!A7,IF(AND(ISNUMBER('Prijava ekipa i izvlačenje br.'!F7)=TRUE,COUNTIF('Prijava ekipa i izvlačenje br.'!$E7,"E")=1),'Prijava ekipa i izvlačenje br.'!F7,IF(AND(ISNUMBER('Prijava ekipa i izvlačenje br.'!I7)=TRUE,COUNTIF('Prijava ekipa i izvlačenje br.'!$H7,"E")=1),'Prijava ekipa i izvlačenje br.'!I7,IF(AND(ISNUMBER('Prijava ekipa i izvlačenje br.'!L7)=TRUE,COUNTIF('Prijava ekipa i izvlačenje br.'!$K7,"E")=1),'Prijava ekipa i izvlačenje br.'!L7,IF(AND(ISNUMBER('Prijava ekipa i izvlačenje br.'!O7)=TRUE,COUNTIF('Prijava ekipa i izvlačenje br.'!$N7,"E")=1),'Prijava ekipa i izvlačenje br.'!O7,IF(AND(ISNUMBER('Prijava ekipa i izvlačenje br.'!R7)=TRUE,COUNTIF('Prijava ekipa i izvlačenje br.'!$Q7,"E")=1),'Prijava ekipa i izvlačenje br.'!R7,""))))))</f>
        <v>6</v>
      </c>
      <c r="Y15" s="112">
        <f>IF(ISBLANK('Upis rezultata E sektora'!F7)=TRUE,"",'Upis rezultata E sektora'!F7)</f>
        <v>1325</v>
      </c>
      <c r="Z15" s="112">
        <f>IF(ISBLANK('Upis rezultata E sektora'!B7)=TRUE,"",'Upis rezultata E sektora'!B7)</f>
        <v>8.5</v>
      </c>
      <c r="AA15" s="117">
        <f t="shared" si="8"/>
        <v>41</v>
      </c>
      <c r="AB15" s="113">
        <f t="shared" si="9"/>
        <v>36</v>
      </c>
      <c r="AC15" s="112">
        <f t="shared" si="10"/>
        <v>7908</v>
      </c>
      <c r="AD15" s="148">
        <f t="shared" si="0"/>
        <v>7</v>
      </c>
      <c r="AG15" s="197">
        <f t="shared" si="11"/>
        <v>7908</v>
      </c>
      <c r="AH15" s="68">
        <f t="shared" si="12"/>
        <v>35.920917895</v>
      </c>
      <c r="AI15" s="68">
        <f t="shared" si="13"/>
        <v>2105</v>
      </c>
      <c r="AJ15" s="68">
        <f t="shared" si="1"/>
        <v>5</v>
      </c>
      <c r="AK15" s="68">
        <f t="shared" si="14"/>
        <v>2105</v>
      </c>
      <c r="AL15" s="68">
        <f t="shared" si="2"/>
        <v>22</v>
      </c>
      <c r="AM15" s="68">
        <f t="shared" si="3"/>
        <v>4.97895</v>
      </c>
    </row>
    <row r="16" spans="1:39" s="72" customFormat="1" ht="52.5" customHeight="1">
      <c r="A16" s="147">
        <f>IF(OR(ISNUMBER(D16)=TRUE,ISNUMBER(I16)=TRUE,ISNUMBER(N16)=TRUE,ISNUMBER(S16)=TRUE,ISNUMBER(X16)=TRUE),7,"")</f>
        <v>7</v>
      </c>
      <c r="B16" s="161" t="str">
        <f>IF(ISBLANK('Prijava ekipa i izvlačenje br.'!C8)=TRUE,"",'Prijava ekipa i izvlačenje br.'!C8)</f>
        <v>Trnje-ŠR Zagreb</v>
      </c>
      <c r="C16" s="163" t="str">
        <f>IF(COUNTIF('Prijava ekipa i izvlačenje br.'!$E8,"A")=1,'Prijava ekipa i izvlačenje br.'!$D8,IF(COUNTIF('Prijava ekipa i izvlačenje br.'!$H8,"A")=1,'Prijava ekipa i izvlačenje br.'!$G8,IF(COUNTIF('Prijava ekipa i izvlačenje br.'!$K8,"A")=1,'Prijava ekipa i izvlačenje br.'!$J8,IF(COUNTIF('Prijava ekipa i izvlačenje br.'!$N8,"A")=1,'Prijava ekipa i izvlačenje br.'!$M8,IF(COUNTIF('Prijava ekipa i izvlačenje br.'!$Q8,"A")=1,'Prijava ekipa i izvlačenje br.'!$P8,"")))))</f>
        <v>Zdravko Gotovac</v>
      </c>
      <c r="D16" s="95">
        <f>IF(AND(ISNUMBER('Prijava ekipa i izvlačenje br.'!A8)=TRUE,ISNUMBER(E16)=TRUE),'Prijava ekipa i izvlačenje br.'!A8,IF(AND(ISNUMBER('Prijava ekipa i izvlačenje br.'!F8)=TRUE,COUNTIF('Prijava ekipa i izvlačenje br.'!$E8,"A")=1),'Prijava ekipa i izvlačenje br.'!F8,IF(AND(ISNUMBER('Prijava ekipa i izvlačenje br.'!I8)=TRUE,COUNTIF('Prijava ekipa i izvlačenje br.'!$H8,"A")=1),'Prijava ekipa i izvlačenje br.'!I8,IF(AND(ISNUMBER('Prijava ekipa i izvlačenje br.'!L8)=TRUE,COUNTIF('Prijava ekipa i izvlačenje br.'!$K8,"A")=1),'Prijava ekipa i izvlačenje br.'!L8,IF(AND(ISNUMBER('Prijava ekipa i izvlačenje br.'!O8)=TRUE,COUNTIF('Prijava ekipa i izvlačenje br.'!$N8,"A")=1),'Prijava ekipa i izvlačenje br.'!O8,IF(AND(ISNUMBER('Prijava ekipa i izvlačenje br.'!R8)=TRUE,COUNTIF('Prijava ekipa i izvlačenje br.'!$Q8,"A")=1),'Prijava ekipa i izvlačenje br.'!R8,""))))))</f>
        <v>7</v>
      </c>
      <c r="E16" s="112">
        <f>IF(ISBLANK('Upis rezultata A sektora'!F8)=TRUE,"",'Upis rezultata A sektora'!F8)</f>
        <v>905</v>
      </c>
      <c r="F16" s="112">
        <f>IF(ISBLANK('Upis rezultata A sektora'!B8)=TRUE,"",'Upis rezultata A sektora'!B8)</f>
        <v>10.5</v>
      </c>
      <c r="G16" s="117">
        <f t="shared" si="4"/>
        <v>52</v>
      </c>
      <c r="H16" s="157" t="str">
        <f>IF(COUNTIF('Prijava ekipa i izvlačenje br.'!$E8,"B")=1,'Prijava ekipa i izvlačenje br.'!$D8,IF(COUNTIF('Prijava ekipa i izvlačenje br.'!$H8,"B")=1,'Prijava ekipa i izvlačenje br.'!$G8,IF(COUNTIF('Prijava ekipa i izvlačenje br.'!$K8,"B")=1,'Prijava ekipa i izvlačenje br.'!$J8,IF(COUNTIF('Prijava ekipa i izvlačenje br.'!$N8,"B")=1,'Prijava ekipa i izvlačenje br.'!$M8,IF(COUNTIF('Prijava ekipa i izvlačenje br.'!$Q8,"B")=1,'Prijava ekipa i izvlačenje br.'!$P8,"")))))</f>
        <v>Željko Raženj</v>
      </c>
      <c r="I16" s="95">
        <f>IF(AND(ISNUMBER('Prijava ekipa i izvlačenje br.'!A8)=TRUE,ISNUMBER(J16)=TRUE),'Prijava ekipa i izvlačenje br.'!A8,IF(AND(ISNUMBER('Prijava ekipa i izvlačenje br.'!F8)=TRUE,COUNTIF('Prijava ekipa i izvlačenje br.'!$E8,"B")=1),'Prijava ekipa i izvlačenje br.'!F8,IF(AND(ISNUMBER('Prijava ekipa i izvlačenje br.'!I8)=TRUE,COUNTIF('Prijava ekipa i izvlačenje br.'!$H8,"B")=1),'Prijava ekipa i izvlačenje br.'!I8,IF(AND(ISNUMBER('Prijava ekipa i izvlačenje br.'!L8)=TRUE,COUNTIF('Prijava ekipa i izvlačenje br.'!$K8,"B")=1),'Prijava ekipa i izvlačenje br.'!L8,IF(AND(ISNUMBER('Prijava ekipa i izvlačenje br.'!O8)=TRUE,COUNTIF('Prijava ekipa i izvlačenje br.'!$N8,"B")=1),'Prijava ekipa i izvlačenje br.'!O8,IF(AND(ISNUMBER('Prijava ekipa i izvlačenje br.'!R8)=TRUE,COUNTIF('Prijava ekipa i izvlačenje br.'!$Q8,"B")=1),'Prijava ekipa i izvlačenje br.'!R8,""))))))</f>
        <v>7</v>
      </c>
      <c r="J16" s="112">
        <f>IF(ISBLANK('Upis rezultata B sektora'!F8)=TRUE,"",'Upis rezultata B sektora'!F8)</f>
        <v>1895</v>
      </c>
      <c r="K16" s="112">
        <f>IF(ISBLANK('Upis rezultata B sektora'!B8)=TRUE,"",'Upis rezultata B sektora'!B8)</f>
        <v>7</v>
      </c>
      <c r="L16" s="158">
        <f t="shared" si="5"/>
        <v>32</v>
      </c>
      <c r="M16" s="94" t="str">
        <f>IF(COUNTIF('Prijava ekipa i izvlačenje br.'!$E8,"C")=1,'Prijava ekipa i izvlačenje br.'!$D8,IF(COUNTIF('Prijava ekipa i izvlačenje br.'!$H8,"C")=1,'Prijava ekipa i izvlačenje br.'!$G8,IF(COUNTIF('Prijava ekipa i izvlačenje br.'!$K8,"C")=1,'Prijava ekipa i izvlačenje br.'!$J8,IF(COUNTIF('Prijava ekipa i izvlačenje br.'!$N8,"C")=1,'Prijava ekipa i izvlačenje br.'!$M8,IF(COUNTIF('Prijava ekipa i izvlačenje br.'!$Q8,"C")=1,'Prijava ekipa i izvlačenje br.'!$P8,"")))))</f>
        <v>Ivan Fehir</v>
      </c>
      <c r="N16" s="95">
        <f>IF(AND(ISNUMBER('Prijava ekipa i izvlačenje br.'!A8)=TRUE,ISNUMBER(O16)),'Prijava ekipa i izvlačenje br.'!A8,IF(AND(ISNUMBER('Prijava ekipa i izvlačenje br.'!F8)=TRUE,COUNTIF('Prijava ekipa i izvlačenje br.'!$E8,"C")=1),'Prijava ekipa i izvlačenje br.'!F8,IF(AND(ISNUMBER('Prijava ekipa i izvlačenje br.'!I8)=TRUE,COUNTIF('Prijava ekipa i izvlačenje br.'!$H8,"C")=1),'Prijava ekipa i izvlačenje br.'!I8,IF(AND(ISNUMBER('Prijava ekipa i izvlačenje br.'!L8)=TRUE,COUNTIF('Prijava ekipa i izvlačenje br.'!$K8,"C")=1),'Prijava ekipa i izvlačenje br.'!L8,IF(AND(ISNUMBER('Prijava ekipa i izvlačenje br.'!O8)=TRUE,COUNTIF('Prijava ekipa i izvlačenje br.'!$N8,"C")=1),'Prijava ekipa i izvlačenje br.'!O8,IF(AND(ISNUMBER('Prijava ekipa i izvlačenje br.'!R8)=TRUE,COUNTIF('Prijava ekipa i izvlačenje br.'!$Q8,"C")=1),'Prijava ekipa i izvlačenje br.'!R8,""))))))</f>
        <v>7</v>
      </c>
      <c r="O16" s="112">
        <f>IF(ISBLANK('Upis rezultata C sektora'!F8)=TRUE,"",'Upis rezultata C sektora'!F8)</f>
        <v>1790</v>
      </c>
      <c r="P16" s="112">
        <f>IF(ISBLANK('Upis rezultata C sektora'!B8)=TRUE,"",'Upis rezultata C sektora'!B8)</f>
        <v>5</v>
      </c>
      <c r="Q16" s="155">
        <f t="shared" si="6"/>
        <v>23</v>
      </c>
      <c r="R16" s="157" t="str">
        <f>IF(COUNTIF('Prijava ekipa i izvlačenje br.'!$E8,"D")=1,'Prijava ekipa i izvlačenje br.'!$D8,IF(COUNTIF('Prijava ekipa i izvlačenje br.'!$H8,"D")=1,'Prijava ekipa i izvlačenje br.'!$G8,IF(COUNTIF('Prijava ekipa i izvlačenje br.'!$K8,"D")=1,'Prijava ekipa i izvlačenje br.'!$J8,IF(COUNTIF('Prijava ekipa i izvlačenje br.'!$N8,"D")=1,'Prijava ekipa i izvlačenje br.'!$M8,IF(COUNTIF('Prijava ekipa i izvlačenje br.'!$Q8,"D")=1,'Prijava ekipa i izvlačenje br.'!$P8,"")))))</f>
        <v>Tihomir Vukić</v>
      </c>
      <c r="S16" s="95">
        <f>IF(AND(ISNUMBER('Prijava ekipa i izvlačenje br.'!A8)=TRUE,ISNUMBER(T16)=TRUE),'Prijava ekipa i izvlačenje br.'!A8,IF(AND(ISNUMBER('Prijava ekipa i izvlačenje br.'!F8)=TRUE,COUNTIF('Prijava ekipa i izvlačenje br.'!$E8,"D")=1),'Prijava ekipa i izvlačenje br.'!F8,IF(AND(ISNUMBER('Prijava ekipa i izvlačenje br.'!I8)=TRUE,COUNTIF('Prijava ekipa i izvlačenje br.'!$H8,"D")=1),'Prijava ekipa i izvlačenje br.'!I8,IF(AND(ISNUMBER('Prijava ekipa i izvlačenje br.'!L8)=TRUE,COUNTIF('Prijava ekipa i izvlačenje br.'!$K8,"D")=1),'Prijava ekipa i izvlačenje br.'!L8,IF(AND(ISNUMBER('Prijava ekipa i izvlačenje br.'!O8)=TRUE,COUNTIF('Prijava ekipa i izvlačenje br.'!$N8,"D")=1),'Prijava ekipa i izvlačenje br.'!O8,IF(AND(ISNUMBER('Prijava ekipa i izvlačenje br.'!R8)=TRUE,COUNTIF('Prijava ekipa i izvlačenje br.'!$Q8,"D")=1),'Prijava ekipa i izvlačenje br.'!R8,""))))))</f>
        <v>7</v>
      </c>
      <c r="T16" s="112">
        <f>IF(ISBLANK('Upis rezultata D sektora'!F8)=TRUE,"",'Upis rezultata D sektora'!F8)</f>
        <v>1498</v>
      </c>
      <c r="U16" s="112">
        <f>IF(ISBLANK('Upis rezultata D sektora'!B8)=TRUE,"",'Upis rezultata D sektora'!B8)</f>
        <v>7</v>
      </c>
      <c r="V16" s="158">
        <f t="shared" si="7"/>
        <v>34</v>
      </c>
      <c r="W16" s="94" t="str">
        <f>IF(COUNTIF('Prijava ekipa i izvlačenje br.'!$E8,"E")=1,'Prijava ekipa i izvlačenje br.'!$D8,IF(COUNTIF('Prijava ekipa i izvlačenje br.'!$H8,"E")=1,'Prijava ekipa i izvlačenje br.'!$G8,IF(COUNTIF('Prijava ekipa i izvlačenje br.'!$K8,"E")=1,'Prijava ekipa i izvlačenje br.'!$J8,IF(COUNTIF('Prijava ekipa i izvlačenje br.'!$N8,"E")=1,'Prijava ekipa i izvlačenje br.'!$M8,IF(COUNTIF('Prijava ekipa i izvlačenje br.'!$Q8,"E")=1,'Prijava ekipa i izvlačenje br.'!$P8,"")))))</f>
        <v>Goran Abramović</v>
      </c>
      <c r="X16" s="95">
        <f>IF(AND(ISNUMBER('Prijava ekipa i izvlačenje br.'!A8)=TRUE,ISNUMBER(Y16)=TRUE),'Prijava ekipa i izvlačenje br.'!A8,IF(AND(ISNUMBER('Prijava ekipa i izvlačenje br.'!F8)=TRUE,COUNTIF('Prijava ekipa i izvlačenje br.'!$E8,"E")=1),'Prijava ekipa i izvlačenje br.'!F8,IF(AND(ISNUMBER('Prijava ekipa i izvlačenje br.'!I8)=TRUE,COUNTIF('Prijava ekipa i izvlačenje br.'!$H8,"E")=1),'Prijava ekipa i izvlačenje br.'!I8,IF(AND(ISNUMBER('Prijava ekipa i izvlačenje br.'!L8)=TRUE,COUNTIF('Prijava ekipa i izvlačenje br.'!$K8,"E")=1),'Prijava ekipa i izvlačenje br.'!L8,IF(AND(ISNUMBER('Prijava ekipa i izvlačenje br.'!O8)=TRUE,COUNTIF('Prijava ekipa i izvlačenje br.'!$N8,"E")=1),'Prijava ekipa i izvlačenje br.'!O8,IF(AND(ISNUMBER('Prijava ekipa i izvlačenje br.'!R8)=TRUE,COUNTIF('Prijava ekipa i izvlačenje br.'!$Q8,"E")=1),'Prijava ekipa i izvlačenje br.'!R8,""))))))</f>
        <v>7</v>
      </c>
      <c r="Y16" s="112">
        <f>IF(ISBLANK('Upis rezultata E sektora'!F8)=TRUE,"",'Upis rezultata E sektora'!F8)</f>
        <v>1354</v>
      </c>
      <c r="Z16" s="112">
        <f>IF(ISBLANK('Upis rezultata E sektora'!B8)=TRUE,"",'Upis rezultata E sektora'!B8)</f>
        <v>7</v>
      </c>
      <c r="AA16" s="117">
        <f t="shared" si="8"/>
        <v>35</v>
      </c>
      <c r="AB16" s="113">
        <f t="shared" si="9"/>
        <v>36.5</v>
      </c>
      <c r="AC16" s="112">
        <f t="shared" si="10"/>
        <v>7442</v>
      </c>
      <c r="AD16" s="148">
        <f t="shared" si="0"/>
        <v>8</v>
      </c>
      <c r="AG16" s="197">
        <f t="shared" si="11"/>
        <v>7442</v>
      </c>
      <c r="AH16" s="68">
        <f t="shared" si="12"/>
        <v>36.425578105</v>
      </c>
      <c r="AI16" s="68">
        <f t="shared" si="13"/>
        <v>1895</v>
      </c>
      <c r="AJ16" s="68">
        <f t="shared" si="1"/>
        <v>10.5</v>
      </c>
      <c r="AK16" s="68">
        <f t="shared" si="14"/>
        <v>905</v>
      </c>
      <c r="AL16" s="68">
        <f t="shared" si="2"/>
        <v>52</v>
      </c>
      <c r="AM16" s="68">
        <f t="shared" si="3"/>
        <v>10.49095</v>
      </c>
    </row>
    <row r="17" spans="1:39" s="72" customFormat="1" ht="52.5" customHeight="1">
      <c r="A17" s="147">
        <f>IF(OR(ISNUMBER(D17)=TRUE,ISNUMBER(I17)=TRUE,ISNUMBER(N17)=TRUE,ISNUMBER(S17)=TRUE,ISNUMBER(X17)=TRUE),8,"")</f>
        <v>8</v>
      </c>
      <c r="B17" s="161" t="str">
        <f>IF(ISBLANK('Prijava ekipa i izvlačenje br.'!C9)=TRUE,"",'Prijava ekipa i izvlačenje br.'!C9)</f>
        <v>Klen N.Gradiška</v>
      </c>
      <c r="C17" s="163" t="str">
        <f>IF(COUNTIF('Prijava ekipa i izvlačenje br.'!$E9,"A")=1,'Prijava ekipa i izvlačenje br.'!$D9,IF(COUNTIF('Prijava ekipa i izvlačenje br.'!$H9,"A")=1,'Prijava ekipa i izvlačenje br.'!$G9,IF(COUNTIF('Prijava ekipa i izvlačenje br.'!$K9,"A")=1,'Prijava ekipa i izvlačenje br.'!$J9,IF(COUNTIF('Prijava ekipa i izvlačenje br.'!$N9,"A")=1,'Prijava ekipa i izvlačenje br.'!$M9,IF(COUNTIF('Prijava ekipa i izvlačenje br.'!$Q9,"A")=1,'Prijava ekipa i izvlačenje br.'!$P9,"")))))</f>
        <v>Damir Dević</v>
      </c>
      <c r="D17" s="95">
        <f>IF(AND(ISNUMBER('Prijava ekipa i izvlačenje br.'!A9)=TRUE,ISNUMBER(E17)=TRUE),'Prijava ekipa i izvlačenje br.'!A9,IF(AND(ISNUMBER('Prijava ekipa i izvlačenje br.'!F9)=TRUE,COUNTIF('Prijava ekipa i izvlačenje br.'!$E9,"A")=1),'Prijava ekipa i izvlačenje br.'!F9,IF(AND(ISNUMBER('Prijava ekipa i izvlačenje br.'!I9)=TRUE,COUNTIF('Prijava ekipa i izvlačenje br.'!$H9,"A")=1),'Prijava ekipa i izvlačenje br.'!I9,IF(AND(ISNUMBER('Prijava ekipa i izvlačenje br.'!L9)=TRUE,COUNTIF('Prijava ekipa i izvlačenje br.'!$K9,"A")=1),'Prijava ekipa i izvlačenje br.'!L9,IF(AND(ISNUMBER('Prijava ekipa i izvlačenje br.'!O9)=TRUE,COUNTIF('Prijava ekipa i izvlačenje br.'!$N9,"A")=1),'Prijava ekipa i izvlačenje br.'!O9,IF(AND(ISNUMBER('Prijava ekipa i izvlačenje br.'!R9)=TRUE,COUNTIF('Prijava ekipa i izvlačenje br.'!$Q9,"A")=1),'Prijava ekipa i izvlačenje br.'!R9,""))))))</f>
        <v>8</v>
      </c>
      <c r="E17" s="112">
        <f>IF(ISBLANK('Upis rezultata A sektora'!F9)=TRUE,"",'Upis rezultata A sektora'!F9)</f>
        <v>1125</v>
      </c>
      <c r="F17" s="112">
        <f>IF(ISBLANK('Upis rezultata A sektora'!B9)=TRUE,"",'Upis rezultata A sektora'!B9)</f>
        <v>9</v>
      </c>
      <c r="G17" s="117">
        <f t="shared" si="4"/>
        <v>45</v>
      </c>
      <c r="H17" s="157" t="str">
        <f>IF(COUNTIF('Prijava ekipa i izvlačenje br.'!$E9,"B")=1,'Prijava ekipa i izvlačenje br.'!$D9,IF(COUNTIF('Prijava ekipa i izvlačenje br.'!$H9,"B")=1,'Prijava ekipa i izvlačenje br.'!$G9,IF(COUNTIF('Prijava ekipa i izvlačenje br.'!$K9,"B")=1,'Prijava ekipa i izvlačenje br.'!$J9,IF(COUNTIF('Prijava ekipa i izvlačenje br.'!$N9,"B")=1,'Prijava ekipa i izvlačenje br.'!$M9,IF(COUNTIF('Prijava ekipa i izvlačenje br.'!$Q9,"B")=1,'Prijava ekipa i izvlačenje br.'!$P9,"")))))</f>
        <v>Mario Akmačić</v>
      </c>
      <c r="I17" s="95">
        <f>IF(AND(ISNUMBER('Prijava ekipa i izvlačenje br.'!A9)=TRUE,ISNUMBER(J17)=TRUE),'Prijava ekipa i izvlačenje br.'!A9,IF(AND(ISNUMBER('Prijava ekipa i izvlačenje br.'!F9)=TRUE,COUNTIF('Prijava ekipa i izvlačenje br.'!$E9,"B")=1),'Prijava ekipa i izvlačenje br.'!F9,IF(AND(ISNUMBER('Prijava ekipa i izvlačenje br.'!I9)=TRUE,COUNTIF('Prijava ekipa i izvlačenje br.'!$H9,"B")=1),'Prijava ekipa i izvlačenje br.'!I9,IF(AND(ISNUMBER('Prijava ekipa i izvlačenje br.'!L9)=TRUE,COUNTIF('Prijava ekipa i izvlačenje br.'!$K9,"B")=1),'Prijava ekipa i izvlačenje br.'!L9,IF(AND(ISNUMBER('Prijava ekipa i izvlačenje br.'!O9)=TRUE,COUNTIF('Prijava ekipa i izvlačenje br.'!$N9,"B")=1),'Prijava ekipa i izvlačenje br.'!O9,IF(AND(ISNUMBER('Prijava ekipa i izvlačenje br.'!R9)=TRUE,COUNTIF('Prijava ekipa i izvlačenje br.'!$Q9,"B")=1),'Prijava ekipa i izvlačenje br.'!R9,""))))))</f>
        <v>8</v>
      </c>
      <c r="J17" s="112">
        <f>IF(ISBLANK('Upis rezultata B sektora'!F9)=TRUE,"",'Upis rezultata B sektora'!F9)</f>
        <v>1953</v>
      </c>
      <c r="K17" s="112">
        <f>IF(ISBLANK('Upis rezultata B sektora'!B9)=TRUE,"",'Upis rezultata B sektora'!B9)</f>
        <v>6</v>
      </c>
      <c r="L17" s="158">
        <f t="shared" si="5"/>
        <v>27</v>
      </c>
      <c r="M17" s="94" t="str">
        <f>IF(COUNTIF('Prijava ekipa i izvlačenje br.'!$E9,"C")=1,'Prijava ekipa i izvlačenje br.'!$D9,IF(COUNTIF('Prijava ekipa i izvlačenje br.'!$H9,"C")=1,'Prijava ekipa i izvlačenje br.'!$G9,IF(COUNTIF('Prijava ekipa i izvlačenje br.'!$K9,"C")=1,'Prijava ekipa i izvlačenje br.'!$J9,IF(COUNTIF('Prijava ekipa i izvlačenje br.'!$N9,"C")=1,'Prijava ekipa i izvlačenje br.'!$M9,IF(COUNTIF('Prijava ekipa i izvlačenje br.'!$Q9,"C")=1,'Prijava ekipa i izvlačenje br.'!$P9,"")))))</f>
        <v>Petar Petrović</v>
      </c>
      <c r="N17" s="95">
        <f>IF(AND(ISNUMBER('Prijava ekipa i izvlačenje br.'!A9)=TRUE,ISNUMBER(O17)),'Prijava ekipa i izvlačenje br.'!A9,IF(AND(ISNUMBER('Prijava ekipa i izvlačenje br.'!F9)=TRUE,COUNTIF('Prijava ekipa i izvlačenje br.'!$E9,"C")=1),'Prijava ekipa i izvlačenje br.'!F9,IF(AND(ISNUMBER('Prijava ekipa i izvlačenje br.'!I9)=TRUE,COUNTIF('Prijava ekipa i izvlačenje br.'!$H9,"C")=1),'Prijava ekipa i izvlačenje br.'!I9,IF(AND(ISNUMBER('Prijava ekipa i izvlačenje br.'!L9)=TRUE,COUNTIF('Prijava ekipa i izvlačenje br.'!$K9,"C")=1),'Prijava ekipa i izvlačenje br.'!L9,IF(AND(ISNUMBER('Prijava ekipa i izvlačenje br.'!O9)=TRUE,COUNTIF('Prijava ekipa i izvlačenje br.'!$N9,"C")=1),'Prijava ekipa i izvlačenje br.'!O9,IF(AND(ISNUMBER('Prijava ekipa i izvlačenje br.'!R9)=TRUE,COUNTIF('Prijava ekipa i izvlačenje br.'!$Q9,"C")=1),'Prijava ekipa i izvlačenje br.'!R9,""))))))</f>
        <v>8</v>
      </c>
      <c r="O17" s="112">
        <f>IF(ISBLANK('Upis rezultata C sektora'!F9)=TRUE,"",'Upis rezultata C sektora'!F9)</f>
        <v>1325</v>
      </c>
      <c r="P17" s="112">
        <f>IF(ISBLANK('Upis rezultata C sektora'!B9)=TRUE,"",'Upis rezultata C sektora'!B9)</f>
        <v>9</v>
      </c>
      <c r="Q17" s="155">
        <f t="shared" si="6"/>
        <v>43</v>
      </c>
      <c r="R17" s="157" t="str">
        <f>IF(COUNTIF('Prijava ekipa i izvlačenje br.'!$E9,"D")=1,'Prijava ekipa i izvlačenje br.'!$D9,IF(COUNTIF('Prijava ekipa i izvlačenje br.'!$H9,"D")=1,'Prijava ekipa i izvlačenje br.'!$G9,IF(COUNTIF('Prijava ekipa i izvlačenje br.'!$K9,"D")=1,'Prijava ekipa i izvlačenje br.'!$J9,IF(COUNTIF('Prijava ekipa i izvlačenje br.'!$N9,"D")=1,'Prijava ekipa i izvlačenje br.'!$M9,IF(COUNTIF('Prijava ekipa i izvlačenje br.'!$Q9,"D")=1,'Prijava ekipa i izvlačenje br.'!$P9,"")))))</f>
        <v>Goran Funes</v>
      </c>
      <c r="S17" s="95">
        <f>IF(AND(ISNUMBER('Prijava ekipa i izvlačenje br.'!A9)=TRUE,ISNUMBER(T17)=TRUE),'Prijava ekipa i izvlačenje br.'!A9,IF(AND(ISNUMBER('Prijava ekipa i izvlačenje br.'!F9)=TRUE,COUNTIF('Prijava ekipa i izvlačenje br.'!$E9,"D")=1),'Prijava ekipa i izvlačenje br.'!F9,IF(AND(ISNUMBER('Prijava ekipa i izvlačenje br.'!I9)=TRUE,COUNTIF('Prijava ekipa i izvlačenje br.'!$H9,"D")=1),'Prijava ekipa i izvlačenje br.'!I9,IF(AND(ISNUMBER('Prijava ekipa i izvlačenje br.'!L9)=TRUE,COUNTIF('Prijava ekipa i izvlačenje br.'!$K9,"D")=1),'Prijava ekipa i izvlačenje br.'!L9,IF(AND(ISNUMBER('Prijava ekipa i izvlačenje br.'!O9)=TRUE,COUNTIF('Prijava ekipa i izvlačenje br.'!$N9,"D")=1),'Prijava ekipa i izvlačenje br.'!O9,IF(AND(ISNUMBER('Prijava ekipa i izvlačenje br.'!R9)=TRUE,COUNTIF('Prijava ekipa i izvlačenje br.'!$Q9,"D")=1),'Prijava ekipa i izvlačenje br.'!R9,""))))))</f>
        <v>8</v>
      </c>
      <c r="T17" s="112">
        <f>IF(ISBLANK('Upis rezultata D sektora'!F9)=TRUE,"",'Upis rezultata D sektora'!F9)</f>
        <v>480</v>
      </c>
      <c r="U17" s="112">
        <f>IF(ISBLANK('Upis rezultata D sektora'!B9)=TRUE,"",'Upis rezultata D sektora'!B9)</f>
        <v>12</v>
      </c>
      <c r="V17" s="158">
        <f t="shared" si="7"/>
        <v>59</v>
      </c>
      <c r="W17" s="94" t="str">
        <f>IF(COUNTIF('Prijava ekipa i izvlačenje br.'!$E9,"E")=1,'Prijava ekipa i izvlačenje br.'!$D9,IF(COUNTIF('Prijava ekipa i izvlačenje br.'!$H9,"E")=1,'Prijava ekipa i izvlačenje br.'!$G9,IF(COUNTIF('Prijava ekipa i izvlačenje br.'!$K9,"E")=1,'Prijava ekipa i izvlačenje br.'!$J9,IF(COUNTIF('Prijava ekipa i izvlačenje br.'!$N9,"E")=1,'Prijava ekipa i izvlačenje br.'!$M9,IF(COUNTIF('Prijava ekipa i izvlačenje br.'!$Q9,"E")=1,'Prijava ekipa i izvlačenje br.'!$P9,"")))))</f>
        <v>Stiven Palijan</v>
      </c>
      <c r="X17" s="95">
        <f>IF(AND(ISNUMBER('Prijava ekipa i izvlačenje br.'!A9)=TRUE,ISNUMBER(Y17)=TRUE),'Prijava ekipa i izvlačenje br.'!A9,IF(AND(ISNUMBER('Prijava ekipa i izvlačenje br.'!F9)=TRUE,COUNTIF('Prijava ekipa i izvlačenje br.'!$E9,"E")=1),'Prijava ekipa i izvlačenje br.'!F9,IF(AND(ISNUMBER('Prijava ekipa i izvlačenje br.'!I9)=TRUE,COUNTIF('Prijava ekipa i izvlačenje br.'!$H9,"E")=1),'Prijava ekipa i izvlačenje br.'!I9,IF(AND(ISNUMBER('Prijava ekipa i izvlačenje br.'!L9)=TRUE,COUNTIF('Prijava ekipa i izvlačenje br.'!$K9,"E")=1),'Prijava ekipa i izvlačenje br.'!L9,IF(AND(ISNUMBER('Prijava ekipa i izvlačenje br.'!O9)=TRUE,COUNTIF('Prijava ekipa i izvlačenje br.'!$N9,"E")=1),'Prijava ekipa i izvlačenje br.'!O9,IF(AND(ISNUMBER('Prijava ekipa i izvlačenje br.'!R9)=TRUE,COUNTIF('Prijava ekipa i izvlačenje br.'!$Q9,"E")=1),'Prijava ekipa i izvlačenje br.'!R9,""))))))</f>
        <v>8</v>
      </c>
      <c r="Y17" s="112">
        <f>IF(ISBLANK('Upis rezultata E sektora'!F9)=TRUE,"",'Upis rezultata E sektora'!F9)</f>
        <v>1497</v>
      </c>
      <c r="Z17" s="112">
        <f>IF(ISBLANK('Upis rezultata E sektora'!B9)=TRUE,"",'Upis rezultata E sektora'!B9)</f>
        <v>6</v>
      </c>
      <c r="AA17" s="117">
        <f t="shared" si="8"/>
        <v>29</v>
      </c>
      <c r="AB17" s="113">
        <f t="shared" si="9"/>
        <v>42</v>
      </c>
      <c r="AC17" s="112">
        <f t="shared" si="10"/>
        <v>6380</v>
      </c>
      <c r="AD17" s="148">
        <f t="shared" si="0"/>
        <v>10</v>
      </c>
      <c r="AG17" s="197">
        <f t="shared" si="11"/>
        <v>6380</v>
      </c>
      <c r="AH17" s="68">
        <f t="shared" si="12"/>
        <v>41.936198047</v>
      </c>
      <c r="AI17" s="68">
        <f t="shared" si="13"/>
        <v>1953</v>
      </c>
      <c r="AJ17" s="68">
        <f t="shared" si="1"/>
        <v>9</v>
      </c>
      <c r="AK17" s="68">
        <f t="shared" si="14"/>
        <v>1125</v>
      </c>
      <c r="AL17" s="68">
        <f t="shared" si="2"/>
        <v>45</v>
      </c>
      <c r="AM17" s="68">
        <f t="shared" si="3"/>
        <v>8.98875</v>
      </c>
    </row>
    <row r="18" spans="1:39" s="72" customFormat="1" ht="52.5" customHeight="1">
      <c r="A18" s="147">
        <f>IF(OR(ISNUMBER(D18)=TRUE,ISNUMBER(I18)=TRUE,ISNUMBER(N18)=TRUE,ISNUMBER(S18)=TRUE,ISNUMBER(X18)=TRUE),9,"")</f>
        <v>9</v>
      </c>
      <c r="B18" s="161" t="str">
        <f>IF(ISBLANK('Prijava ekipa i izvlačenje br.'!C10)=TRUE,"",'Prijava ekipa i izvlačenje br.'!C10)</f>
        <v>Bjelka GME Sunja</v>
      </c>
      <c r="C18" s="163" t="str">
        <f>IF(COUNTIF('Prijava ekipa i izvlačenje br.'!$E10,"A")=1,'Prijava ekipa i izvlačenje br.'!$D10,IF(COUNTIF('Prijava ekipa i izvlačenje br.'!$H10,"A")=1,'Prijava ekipa i izvlačenje br.'!$G10,IF(COUNTIF('Prijava ekipa i izvlačenje br.'!$K10,"A")=1,'Prijava ekipa i izvlačenje br.'!$J10,IF(COUNTIF('Prijava ekipa i izvlačenje br.'!$N10,"A")=1,'Prijava ekipa i izvlačenje br.'!$M10,IF(COUNTIF('Prijava ekipa i izvlačenje br.'!$Q10,"A")=1,'Prijava ekipa i izvlačenje br.'!$P10,"")))))</f>
        <v>Domagoj Ceković</v>
      </c>
      <c r="D18" s="95">
        <f>IF(AND(ISNUMBER('Prijava ekipa i izvlačenje br.'!A10)=TRUE,ISNUMBER(E18)=TRUE),'Prijava ekipa i izvlačenje br.'!A10,IF(AND(ISNUMBER('Prijava ekipa i izvlačenje br.'!F10)=TRUE,COUNTIF('Prijava ekipa i izvlačenje br.'!$E10,"A")=1),'Prijava ekipa i izvlačenje br.'!F10,IF(AND(ISNUMBER('Prijava ekipa i izvlačenje br.'!I10)=TRUE,COUNTIF('Prijava ekipa i izvlačenje br.'!$H10,"A")=1),'Prijava ekipa i izvlačenje br.'!I10,IF(AND(ISNUMBER('Prijava ekipa i izvlačenje br.'!L10)=TRUE,COUNTIF('Prijava ekipa i izvlačenje br.'!$K10,"A")=1),'Prijava ekipa i izvlačenje br.'!L10,IF(AND(ISNUMBER('Prijava ekipa i izvlačenje br.'!O10)=TRUE,COUNTIF('Prijava ekipa i izvlačenje br.'!$N10,"A")=1),'Prijava ekipa i izvlačenje br.'!O10,IF(AND(ISNUMBER('Prijava ekipa i izvlačenje br.'!R10)=TRUE,COUNTIF('Prijava ekipa i izvlačenje br.'!$Q10,"A")=1),'Prijava ekipa i izvlačenje br.'!R10,""))))))</f>
        <v>9</v>
      </c>
      <c r="E18" s="112">
        <f>IF(ISBLANK('Upis rezultata A sektora'!F10)=TRUE,"",'Upis rezultata A sektora'!F10)</f>
        <v>1470</v>
      </c>
      <c r="F18" s="112">
        <f>IF(ISBLANK('Upis rezultata A sektora'!B10)=TRUE,"",'Upis rezultata A sektora'!B10)</f>
        <v>8</v>
      </c>
      <c r="G18" s="117">
        <f t="shared" si="4"/>
        <v>36</v>
      </c>
      <c r="H18" s="157" t="str">
        <f>IF(COUNTIF('Prijava ekipa i izvlačenje br.'!$E10,"B")=1,'Prijava ekipa i izvlačenje br.'!$D10,IF(COUNTIF('Prijava ekipa i izvlačenje br.'!$H10,"B")=1,'Prijava ekipa i izvlačenje br.'!$G10,IF(COUNTIF('Prijava ekipa i izvlačenje br.'!$K10,"B")=1,'Prijava ekipa i izvlačenje br.'!$J10,IF(COUNTIF('Prijava ekipa i izvlačenje br.'!$N10,"B")=1,'Prijava ekipa i izvlačenje br.'!$M10,IF(COUNTIF('Prijava ekipa i izvlačenje br.'!$Q10,"B")=1,'Prijava ekipa i izvlačenje br.'!$P10,"")))))</f>
        <v>Smail Habibović</v>
      </c>
      <c r="I18" s="95">
        <f>IF(AND(ISNUMBER('Prijava ekipa i izvlačenje br.'!A10)=TRUE,ISNUMBER(J18)=TRUE),'Prijava ekipa i izvlačenje br.'!A10,IF(AND(ISNUMBER('Prijava ekipa i izvlačenje br.'!F10)=TRUE,COUNTIF('Prijava ekipa i izvlačenje br.'!$E10,"B")=1),'Prijava ekipa i izvlačenje br.'!F10,IF(AND(ISNUMBER('Prijava ekipa i izvlačenje br.'!I10)=TRUE,COUNTIF('Prijava ekipa i izvlačenje br.'!$H10,"B")=1),'Prijava ekipa i izvlačenje br.'!I10,IF(AND(ISNUMBER('Prijava ekipa i izvlačenje br.'!L10)=TRUE,COUNTIF('Prijava ekipa i izvlačenje br.'!$K10,"B")=1),'Prijava ekipa i izvlačenje br.'!L10,IF(AND(ISNUMBER('Prijava ekipa i izvlačenje br.'!O10)=TRUE,COUNTIF('Prijava ekipa i izvlačenje br.'!$N10,"B")=1),'Prijava ekipa i izvlačenje br.'!O10,IF(AND(ISNUMBER('Prijava ekipa i izvlačenje br.'!R10)=TRUE,COUNTIF('Prijava ekipa i izvlačenje br.'!$Q10,"B")=1),'Prijava ekipa i izvlačenje br.'!R10,""))))))</f>
        <v>9</v>
      </c>
      <c r="J18" s="112">
        <f>IF(ISBLANK('Upis rezultata B sektora'!F10)=TRUE,"",'Upis rezultata B sektora'!F10)</f>
        <v>1119</v>
      </c>
      <c r="K18" s="112">
        <f>IF(ISBLANK('Upis rezultata B sektora'!B10)=TRUE,"",'Upis rezultata B sektora'!B10)</f>
        <v>10.5</v>
      </c>
      <c r="L18" s="158">
        <f t="shared" si="5"/>
        <v>50</v>
      </c>
      <c r="M18" s="94" t="str">
        <f>IF(COUNTIF('Prijava ekipa i izvlačenje br.'!$E10,"C")=1,'Prijava ekipa i izvlačenje br.'!$D10,IF(COUNTIF('Prijava ekipa i izvlačenje br.'!$H10,"C")=1,'Prijava ekipa i izvlačenje br.'!$G10,IF(COUNTIF('Prijava ekipa i izvlačenje br.'!$K10,"C")=1,'Prijava ekipa i izvlačenje br.'!$J10,IF(COUNTIF('Prijava ekipa i izvlačenje br.'!$N10,"C")=1,'Prijava ekipa i izvlačenje br.'!$M10,IF(COUNTIF('Prijava ekipa i izvlačenje br.'!$Q10,"C")=1,'Prijava ekipa i izvlačenje br.'!$P10,"")))))</f>
        <v>Dejan Vondrak</v>
      </c>
      <c r="N18" s="95">
        <f>IF(AND(ISNUMBER('Prijava ekipa i izvlačenje br.'!A10)=TRUE,ISNUMBER(O18)),'Prijava ekipa i izvlačenje br.'!A10,IF(AND(ISNUMBER('Prijava ekipa i izvlačenje br.'!F10)=TRUE,COUNTIF('Prijava ekipa i izvlačenje br.'!$E10,"C")=1),'Prijava ekipa i izvlačenje br.'!F10,IF(AND(ISNUMBER('Prijava ekipa i izvlačenje br.'!I10)=TRUE,COUNTIF('Prijava ekipa i izvlačenje br.'!$H10,"C")=1),'Prijava ekipa i izvlačenje br.'!I10,IF(AND(ISNUMBER('Prijava ekipa i izvlačenje br.'!L10)=TRUE,COUNTIF('Prijava ekipa i izvlačenje br.'!$K10,"C")=1),'Prijava ekipa i izvlačenje br.'!L10,IF(AND(ISNUMBER('Prijava ekipa i izvlačenje br.'!O10)=TRUE,COUNTIF('Prijava ekipa i izvlačenje br.'!$N10,"C")=1),'Prijava ekipa i izvlačenje br.'!O10,IF(AND(ISNUMBER('Prijava ekipa i izvlačenje br.'!R10)=TRUE,COUNTIF('Prijava ekipa i izvlačenje br.'!$Q10,"C")=1),'Prijava ekipa i izvlačenje br.'!R10,""))))))</f>
        <v>9</v>
      </c>
      <c r="O18" s="112">
        <f>IF(ISBLANK('Upis rezultata C sektora'!F10)=TRUE,"",'Upis rezultata C sektora'!F10)</f>
        <v>608</v>
      </c>
      <c r="P18" s="112">
        <f>IF(ISBLANK('Upis rezultata C sektora'!B10)=TRUE,"",'Upis rezultata C sektora'!B10)</f>
        <v>12</v>
      </c>
      <c r="Q18" s="155">
        <f t="shared" si="6"/>
        <v>58</v>
      </c>
      <c r="R18" s="157" t="str">
        <f>IF(COUNTIF('Prijava ekipa i izvlačenje br.'!$E10,"D")=1,'Prijava ekipa i izvlačenje br.'!$D10,IF(COUNTIF('Prijava ekipa i izvlačenje br.'!$H10,"D")=1,'Prijava ekipa i izvlačenje br.'!$G10,IF(COUNTIF('Prijava ekipa i izvlačenje br.'!$K10,"D")=1,'Prijava ekipa i izvlačenje br.'!$J10,IF(COUNTIF('Prijava ekipa i izvlačenje br.'!$N10,"D")=1,'Prijava ekipa i izvlačenje br.'!$M10,IF(COUNTIF('Prijava ekipa i izvlačenje br.'!$Q10,"D")=1,'Prijava ekipa i izvlačenje br.'!$P10,"")))))</f>
        <v>Zdravko Vrbanek</v>
      </c>
      <c r="S18" s="95">
        <f>IF(AND(ISNUMBER('Prijava ekipa i izvlačenje br.'!A10)=TRUE,ISNUMBER(T18)=TRUE),'Prijava ekipa i izvlačenje br.'!A10,IF(AND(ISNUMBER('Prijava ekipa i izvlačenje br.'!F10)=TRUE,COUNTIF('Prijava ekipa i izvlačenje br.'!$E10,"D")=1),'Prijava ekipa i izvlačenje br.'!F10,IF(AND(ISNUMBER('Prijava ekipa i izvlačenje br.'!I10)=TRUE,COUNTIF('Prijava ekipa i izvlačenje br.'!$H10,"D")=1),'Prijava ekipa i izvlačenje br.'!I10,IF(AND(ISNUMBER('Prijava ekipa i izvlačenje br.'!L10)=TRUE,COUNTIF('Prijava ekipa i izvlačenje br.'!$K10,"D")=1),'Prijava ekipa i izvlačenje br.'!L10,IF(AND(ISNUMBER('Prijava ekipa i izvlačenje br.'!O10)=TRUE,COUNTIF('Prijava ekipa i izvlačenje br.'!$N10,"D")=1),'Prijava ekipa i izvlačenje br.'!O10,IF(AND(ISNUMBER('Prijava ekipa i izvlačenje br.'!R10)=TRUE,COUNTIF('Prijava ekipa i izvlačenje br.'!$Q10,"D")=1),'Prijava ekipa i izvlačenje br.'!R10,""))))))</f>
        <v>9</v>
      </c>
      <c r="T18" s="112">
        <f>IF(ISBLANK('Upis rezultata D sektora'!F10)=TRUE,"",'Upis rezultata D sektora'!F10)</f>
        <v>1790</v>
      </c>
      <c r="U18" s="112">
        <f>IF(ISBLANK('Upis rezultata D sektora'!B10)=TRUE,"",'Upis rezultata D sektora'!B10)</f>
        <v>4</v>
      </c>
      <c r="V18" s="158">
        <f t="shared" si="7"/>
        <v>20</v>
      </c>
      <c r="W18" s="94" t="str">
        <f>IF(COUNTIF('Prijava ekipa i izvlačenje br.'!$E10,"E")=1,'Prijava ekipa i izvlačenje br.'!$D10,IF(COUNTIF('Prijava ekipa i izvlačenje br.'!$H10,"E")=1,'Prijava ekipa i izvlačenje br.'!$G10,IF(COUNTIF('Prijava ekipa i izvlačenje br.'!$K10,"E")=1,'Prijava ekipa i izvlačenje br.'!$J10,IF(COUNTIF('Prijava ekipa i izvlačenje br.'!$N10,"E")=1,'Prijava ekipa i izvlačenje br.'!$M10,IF(COUNTIF('Prijava ekipa i izvlačenje br.'!$Q10,"E")=1,'Prijava ekipa i izvlačenje br.'!$P10,"")))))</f>
        <v>Damir Jauševac</v>
      </c>
      <c r="X18" s="95">
        <f>IF(AND(ISNUMBER('Prijava ekipa i izvlačenje br.'!A10)=TRUE,ISNUMBER(Y18)=TRUE),'Prijava ekipa i izvlačenje br.'!A10,IF(AND(ISNUMBER('Prijava ekipa i izvlačenje br.'!F10)=TRUE,COUNTIF('Prijava ekipa i izvlačenje br.'!$E10,"E")=1),'Prijava ekipa i izvlačenje br.'!F10,IF(AND(ISNUMBER('Prijava ekipa i izvlačenje br.'!I10)=TRUE,COUNTIF('Prijava ekipa i izvlačenje br.'!$H10,"E")=1),'Prijava ekipa i izvlačenje br.'!I10,IF(AND(ISNUMBER('Prijava ekipa i izvlačenje br.'!L10)=TRUE,COUNTIF('Prijava ekipa i izvlačenje br.'!$K10,"E")=1),'Prijava ekipa i izvlačenje br.'!L10,IF(AND(ISNUMBER('Prijava ekipa i izvlačenje br.'!O10)=TRUE,COUNTIF('Prijava ekipa i izvlačenje br.'!$N10,"E")=1),'Prijava ekipa i izvlačenje br.'!O10,IF(AND(ISNUMBER('Prijava ekipa i izvlačenje br.'!R10)=TRUE,COUNTIF('Prijava ekipa i izvlačenje br.'!$Q10,"E")=1),'Prijava ekipa i izvlačenje br.'!R10,""))))))</f>
        <v>9</v>
      </c>
      <c r="Y18" s="112">
        <f>IF(ISBLANK('Upis rezultata E sektora'!F10)=TRUE,"",'Upis rezultata E sektora'!F10)</f>
        <v>1498</v>
      </c>
      <c r="Z18" s="112">
        <f>IF(ISBLANK('Upis rezultata E sektora'!B10)=TRUE,"",'Upis rezultata E sektora'!B10)</f>
        <v>5</v>
      </c>
      <c r="AA18" s="117">
        <f t="shared" si="8"/>
        <v>24</v>
      </c>
      <c r="AB18" s="113">
        <f t="shared" si="9"/>
        <v>39.5</v>
      </c>
      <c r="AC18" s="112">
        <f t="shared" si="10"/>
        <v>6485</v>
      </c>
      <c r="AD18" s="148">
        <f t="shared" si="0"/>
        <v>9</v>
      </c>
      <c r="AG18" s="197">
        <f t="shared" si="11"/>
        <v>6485</v>
      </c>
      <c r="AH18" s="68">
        <f t="shared" si="12"/>
        <v>39.43514821</v>
      </c>
      <c r="AI18" s="68">
        <f t="shared" si="13"/>
        <v>1790</v>
      </c>
      <c r="AJ18" s="68">
        <f t="shared" si="1"/>
        <v>8</v>
      </c>
      <c r="AK18" s="68">
        <f t="shared" si="14"/>
        <v>1470</v>
      </c>
      <c r="AL18" s="68">
        <f t="shared" si="2"/>
        <v>36</v>
      </c>
      <c r="AM18" s="68">
        <f t="shared" si="3"/>
        <v>7.9853</v>
      </c>
    </row>
    <row r="19" spans="1:39" s="72" customFormat="1" ht="52.5" customHeight="1">
      <c r="A19" s="147">
        <f>IF(OR(ISNUMBER(D19)=TRUE,ISNUMBER(I19)=TRUE,ISNUMBER(N19)=TRUE,ISNUMBER(S19)=TRUE,ISNUMBER(X19)=TRUE),10,"")</f>
        <v>10</v>
      </c>
      <c r="B19" s="161" t="str">
        <f>IF(ISBLANK('Prijava ekipa i izvlačenje br.'!C11)=TRUE,"",'Prijava ekipa i izvlačenje br.'!C11)</f>
        <v>TPK Zagreb</v>
      </c>
      <c r="C19" s="163" t="str">
        <f>IF(COUNTIF('Prijava ekipa i izvlačenje br.'!$E11,"A")=1,'Prijava ekipa i izvlačenje br.'!$D11,IF(COUNTIF('Prijava ekipa i izvlačenje br.'!$H11,"A")=1,'Prijava ekipa i izvlačenje br.'!$G11,IF(COUNTIF('Prijava ekipa i izvlačenje br.'!$K11,"A")=1,'Prijava ekipa i izvlačenje br.'!$J11,IF(COUNTIF('Prijava ekipa i izvlačenje br.'!$N11,"A")=1,'Prijava ekipa i izvlačenje br.'!$M11,IF(COUNTIF('Prijava ekipa i izvlačenje br.'!$Q11,"A")=1,'Prijava ekipa i izvlačenje br.'!$P11,"")))))</f>
        <v>Dalibor Agbaba</v>
      </c>
      <c r="D19" s="95">
        <f>IF(AND(ISNUMBER('Prijava ekipa i izvlačenje br.'!A11)=TRUE,ISNUMBER(E19)=TRUE),'Prijava ekipa i izvlačenje br.'!A11,IF(AND(ISNUMBER('Prijava ekipa i izvlačenje br.'!F11)=TRUE,COUNTIF('Prijava ekipa i izvlačenje br.'!$E11,"A")=1),'Prijava ekipa i izvlačenje br.'!F11,IF(AND(ISNUMBER('Prijava ekipa i izvlačenje br.'!I11)=TRUE,COUNTIF('Prijava ekipa i izvlačenje br.'!$H11,"A")=1),'Prijava ekipa i izvlačenje br.'!I11,IF(AND(ISNUMBER('Prijava ekipa i izvlačenje br.'!L11)=TRUE,COUNTIF('Prijava ekipa i izvlačenje br.'!$K11,"A")=1),'Prijava ekipa i izvlačenje br.'!L11,IF(AND(ISNUMBER('Prijava ekipa i izvlačenje br.'!O11)=TRUE,COUNTIF('Prijava ekipa i izvlačenje br.'!$N11,"A")=1),'Prijava ekipa i izvlačenje br.'!O11,IF(AND(ISNUMBER('Prijava ekipa i izvlačenje br.'!R11)=TRUE,COUNTIF('Prijava ekipa i izvlačenje br.'!$Q11,"A")=1),'Prijava ekipa i izvlačenje br.'!R11,""))))))</f>
        <v>10</v>
      </c>
      <c r="E19" s="112">
        <f>IF(ISBLANK('Upis rezultata A sektora'!F11)=TRUE,"",'Upis rezultata A sektora'!F11)</f>
        <v>1765</v>
      </c>
      <c r="F19" s="112">
        <f>IF(ISBLANK('Upis rezultata A sektora'!B11)=TRUE,"",'Upis rezultata A sektora'!B11)</f>
        <v>6</v>
      </c>
      <c r="G19" s="117">
        <f t="shared" si="4"/>
        <v>28</v>
      </c>
      <c r="H19" s="157" t="str">
        <f>IF(COUNTIF('Prijava ekipa i izvlačenje br.'!$E11,"B")=1,'Prijava ekipa i izvlačenje br.'!$D11,IF(COUNTIF('Prijava ekipa i izvlačenje br.'!$H11,"B")=1,'Prijava ekipa i izvlačenje br.'!$G11,IF(COUNTIF('Prijava ekipa i izvlačenje br.'!$K11,"B")=1,'Prijava ekipa i izvlačenje br.'!$J11,IF(COUNTIF('Prijava ekipa i izvlačenje br.'!$N11,"B")=1,'Prijava ekipa i izvlačenje br.'!$M11,IF(COUNTIF('Prijava ekipa i izvlačenje br.'!$Q11,"B")=1,'Prijava ekipa i izvlačenje br.'!$P11,"")))))</f>
        <v>Anđelo Orač</v>
      </c>
      <c r="I19" s="95">
        <f>IF(AND(ISNUMBER('Prijava ekipa i izvlačenje br.'!A11)=TRUE,ISNUMBER(J19)=TRUE),'Prijava ekipa i izvlačenje br.'!A11,IF(AND(ISNUMBER('Prijava ekipa i izvlačenje br.'!F11)=TRUE,COUNTIF('Prijava ekipa i izvlačenje br.'!$E11,"B")=1),'Prijava ekipa i izvlačenje br.'!F11,IF(AND(ISNUMBER('Prijava ekipa i izvlačenje br.'!I11)=TRUE,COUNTIF('Prijava ekipa i izvlačenje br.'!$H11,"B")=1),'Prijava ekipa i izvlačenje br.'!I11,IF(AND(ISNUMBER('Prijava ekipa i izvlačenje br.'!L11)=TRUE,COUNTIF('Prijava ekipa i izvlačenje br.'!$K11,"B")=1),'Prijava ekipa i izvlačenje br.'!L11,IF(AND(ISNUMBER('Prijava ekipa i izvlačenje br.'!O11)=TRUE,COUNTIF('Prijava ekipa i izvlačenje br.'!$N11,"B")=1),'Prijava ekipa i izvlačenje br.'!O11,IF(AND(ISNUMBER('Prijava ekipa i izvlačenje br.'!R11)=TRUE,COUNTIF('Prijava ekipa i izvlačenje br.'!$Q11,"B")=1),'Prijava ekipa i izvlačenje br.'!R11,""))))))</f>
        <v>10</v>
      </c>
      <c r="J19" s="112">
        <f>IF(ISBLANK('Upis rezultata B sektora'!F11)=TRUE,"",'Upis rezultata B sektora'!F11)</f>
        <v>1765</v>
      </c>
      <c r="K19" s="112">
        <f>IF(ISBLANK('Upis rezultata B sektora'!B11)=TRUE,"",'Upis rezultata B sektora'!B11)</f>
        <v>8.5</v>
      </c>
      <c r="L19" s="158">
        <f t="shared" si="5"/>
        <v>39</v>
      </c>
      <c r="M19" s="94" t="str">
        <f>IF(COUNTIF('Prijava ekipa i izvlačenje br.'!$E11,"C")=1,'Prijava ekipa i izvlačenje br.'!$D11,IF(COUNTIF('Prijava ekipa i izvlačenje br.'!$H11,"C")=1,'Prijava ekipa i izvlačenje br.'!$G11,IF(COUNTIF('Prijava ekipa i izvlačenje br.'!$K11,"C")=1,'Prijava ekipa i izvlačenje br.'!$J11,IF(COUNTIF('Prijava ekipa i izvlačenje br.'!$N11,"C")=1,'Prijava ekipa i izvlačenje br.'!$M11,IF(COUNTIF('Prijava ekipa i izvlačenje br.'!$Q11,"C")=1,'Prijava ekipa i izvlačenje br.'!$P11,"")))))</f>
        <v>Zlatko Poparić</v>
      </c>
      <c r="N19" s="95">
        <f>IF(AND(ISNUMBER('Prijava ekipa i izvlačenje br.'!A11)=TRUE,ISNUMBER(O19)),'Prijava ekipa i izvlačenje br.'!A11,IF(AND(ISNUMBER('Prijava ekipa i izvlačenje br.'!F11)=TRUE,COUNTIF('Prijava ekipa i izvlačenje br.'!$E11,"C")=1),'Prijava ekipa i izvlačenje br.'!F11,IF(AND(ISNUMBER('Prijava ekipa i izvlačenje br.'!I11)=TRUE,COUNTIF('Prijava ekipa i izvlačenje br.'!$H11,"C")=1),'Prijava ekipa i izvlačenje br.'!I11,IF(AND(ISNUMBER('Prijava ekipa i izvlačenje br.'!L11)=TRUE,COUNTIF('Prijava ekipa i izvlačenje br.'!$K11,"C")=1),'Prijava ekipa i izvlačenje br.'!L11,IF(AND(ISNUMBER('Prijava ekipa i izvlačenje br.'!O11)=TRUE,COUNTIF('Prijava ekipa i izvlačenje br.'!$N11,"C")=1),'Prijava ekipa i izvlačenje br.'!O11,IF(AND(ISNUMBER('Prijava ekipa i izvlačenje br.'!R11)=TRUE,COUNTIF('Prijava ekipa i izvlačenje br.'!$Q11,"C")=1),'Prijava ekipa i izvlačenje br.'!R11,""))))))</f>
        <v>10</v>
      </c>
      <c r="O19" s="112">
        <f>IF(ISBLANK('Upis rezultata C sektora'!F11)=TRUE,"",'Upis rezultata C sektora'!F11)</f>
        <v>1765</v>
      </c>
      <c r="P19" s="112">
        <f>IF(ISBLANK('Upis rezultata C sektora'!B11)=TRUE,"",'Upis rezultata C sektora'!B11)</f>
        <v>6.5</v>
      </c>
      <c r="Q19" s="155">
        <f t="shared" si="6"/>
        <v>30</v>
      </c>
      <c r="R19" s="157" t="str">
        <f>IF(COUNTIF('Prijava ekipa i izvlačenje br.'!$E11,"D")=1,'Prijava ekipa i izvlačenje br.'!$D11,IF(COUNTIF('Prijava ekipa i izvlačenje br.'!$H11,"D")=1,'Prijava ekipa i izvlačenje br.'!$G11,IF(COUNTIF('Prijava ekipa i izvlačenje br.'!$K11,"D")=1,'Prijava ekipa i izvlačenje br.'!$J11,IF(COUNTIF('Prijava ekipa i izvlačenje br.'!$N11,"D")=1,'Prijava ekipa i izvlačenje br.'!$M11,IF(COUNTIF('Prijava ekipa i izvlačenje br.'!$Q11,"D")=1,'Prijava ekipa i izvlačenje br.'!$P11,"")))))</f>
        <v>Zlatko Kraljević</v>
      </c>
      <c r="S19" s="95">
        <f>IF(AND(ISNUMBER('Prijava ekipa i izvlačenje br.'!A11)=TRUE,ISNUMBER(T19)=TRUE),'Prijava ekipa i izvlačenje br.'!A11,IF(AND(ISNUMBER('Prijava ekipa i izvlačenje br.'!F11)=TRUE,COUNTIF('Prijava ekipa i izvlačenje br.'!$E11,"D")=1),'Prijava ekipa i izvlačenje br.'!F11,IF(AND(ISNUMBER('Prijava ekipa i izvlačenje br.'!I11)=TRUE,COUNTIF('Prijava ekipa i izvlačenje br.'!$H11,"D")=1),'Prijava ekipa i izvlačenje br.'!I11,IF(AND(ISNUMBER('Prijava ekipa i izvlačenje br.'!L11)=TRUE,COUNTIF('Prijava ekipa i izvlačenje br.'!$K11,"D")=1),'Prijava ekipa i izvlačenje br.'!L11,IF(AND(ISNUMBER('Prijava ekipa i izvlačenje br.'!O11)=TRUE,COUNTIF('Prijava ekipa i izvlačenje br.'!$N11,"D")=1),'Prijava ekipa i izvlačenje br.'!O11,IF(AND(ISNUMBER('Prijava ekipa i izvlačenje br.'!R11)=TRUE,COUNTIF('Prijava ekipa i izvlačenje br.'!$Q11,"D")=1),'Prijava ekipa i izvlačenje br.'!R11,""))))))</f>
        <v>10</v>
      </c>
      <c r="T19" s="112">
        <f>IF(ISBLANK('Upis rezultata D sektora'!F11)=TRUE,"",'Upis rezultata D sektora'!F11)</f>
        <v>1765</v>
      </c>
      <c r="U19" s="112">
        <f>IF(ISBLANK('Upis rezultata D sektora'!B11)=TRUE,"",'Upis rezultata D sektora'!B11)</f>
        <v>5.5</v>
      </c>
      <c r="V19" s="158">
        <f t="shared" si="7"/>
        <v>25</v>
      </c>
      <c r="W19" s="94" t="str">
        <f>IF(COUNTIF('Prijava ekipa i izvlačenje br.'!$E11,"E")=1,'Prijava ekipa i izvlačenje br.'!$D11,IF(COUNTIF('Prijava ekipa i izvlačenje br.'!$H11,"E")=1,'Prijava ekipa i izvlačenje br.'!$G11,IF(COUNTIF('Prijava ekipa i izvlačenje br.'!$K11,"E")=1,'Prijava ekipa i izvlačenje br.'!$J11,IF(COUNTIF('Prijava ekipa i izvlačenje br.'!$N11,"E")=1,'Prijava ekipa i izvlačenje br.'!$M11,IF(COUNTIF('Prijava ekipa i izvlačenje br.'!$Q11,"E")=1,'Prijava ekipa i izvlačenje br.'!$P11,"")))))</f>
        <v>Zoran Štefanić</v>
      </c>
      <c r="X19" s="95">
        <f>IF(AND(ISNUMBER('Prijava ekipa i izvlačenje br.'!A11)=TRUE,ISNUMBER(Y19)=TRUE),'Prijava ekipa i izvlačenje br.'!A11,IF(AND(ISNUMBER('Prijava ekipa i izvlačenje br.'!F11)=TRUE,COUNTIF('Prijava ekipa i izvlačenje br.'!$E11,"E")=1),'Prijava ekipa i izvlačenje br.'!F11,IF(AND(ISNUMBER('Prijava ekipa i izvlačenje br.'!I11)=TRUE,COUNTIF('Prijava ekipa i izvlačenje br.'!$H11,"E")=1),'Prijava ekipa i izvlačenje br.'!I11,IF(AND(ISNUMBER('Prijava ekipa i izvlačenje br.'!L11)=TRUE,COUNTIF('Prijava ekipa i izvlačenje br.'!$K11,"E")=1),'Prijava ekipa i izvlačenje br.'!L11,IF(AND(ISNUMBER('Prijava ekipa i izvlačenje br.'!O11)=TRUE,COUNTIF('Prijava ekipa i izvlačenje br.'!$N11,"E")=1),'Prijava ekipa i izvlačenje br.'!O11,IF(AND(ISNUMBER('Prijava ekipa i izvlačenje br.'!R11)=TRUE,COUNTIF('Prijava ekipa i izvlačenje br.'!$Q11,"E")=1),'Prijava ekipa i izvlačenje br.'!R11,""))))))</f>
        <v>10</v>
      </c>
      <c r="Y19" s="112">
        <f>IF(ISBLANK('Upis rezultata E sektora'!F11)=TRUE,"",'Upis rezultata E sektora'!F11)</f>
        <v>1765</v>
      </c>
      <c r="Z19" s="112">
        <f>IF(ISBLANK('Upis rezultata E sektora'!B11)=TRUE,"",'Upis rezultata E sektora'!B11)</f>
        <v>3.5</v>
      </c>
      <c r="AA19" s="117">
        <f t="shared" si="8"/>
        <v>15</v>
      </c>
      <c r="AB19" s="113">
        <f t="shared" si="9"/>
        <v>30</v>
      </c>
      <c r="AC19" s="112">
        <f t="shared" si="10"/>
        <v>8825</v>
      </c>
      <c r="AD19" s="148">
        <f t="shared" si="0"/>
        <v>5</v>
      </c>
      <c r="AG19" s="197">
        <f t="shared" si="11"/>
        <v>8825</v>
      </c>
      <c r="AH19" s="68">
        <f t="shared" si="12"/>
        <v>29.911748235</v>
      </c>
      <c r="AI19" s="68">
        <f t="shared" si="13"/>
        <v>1765</v>
      </c>
      <c r="AJ19" s="68">
        <f t="shared" si="1"/>
        <v>6</v>
      </c>
      <c r="AK19" s="68">
        <f t="shared" si="14"/>
        <v>1765</v>
      </c>
      <c r="AL19" s="68">
        <f t="shared" si="2"/>
        <v>28</v>
      </c>
      <c r="AM19" s="68">
        <f t="shared" si="3"/>
        <v>5.98235</v>
      </c>
    </row>
    <row r="20" spans="1:39" s="72" customFormat="1" ht="52.5" customHeight="1">
      <c r="A20" s="147">
        <f>IF(OR(ISNUMBER(D20)=TRUE,ISNUMBER(I20)=TRUE,ISNUMBER(N20)=TRUE,ISNUMBER(S20)=TRUE,ISNUMBER(X20)=TRUE),11,"")</f>
        <v>11</v>
      </c>
      <c r="B20" s="161" t="str">
        <f>IF(ISBLANK('Prijava ekipa i izvlačenje br.'!C12)=TRUE,"",'Prijava ekipa i izvlačenje br.'!C12)</f>
        <v>Ilova Garešnica</v>
      </c>
      <c r="C20" s="163" t="str">
        <f>IF(COUNTIF('Prijava ekipa i izvlačenje br.'!$E12,"A")=1,'Prijava ekipa i izvlačenje br.'!$D12,IF(COUNTIF('Prijava ekipa i izvlačenje br.'!$H12,"A")=1,'Prijava ekipa i izvlačenje br.'!$G12,IF(COUNTIF('Prijava ekipa i izvlačenje br.'!$K12,"A")=1,'Prijava ekipa i izvlačenje br.'!$J12,IF(COUNTIF('Prijava ekipa i izvlačenje br.'!$N12,"A")=1,'Prijava ekipa i izvlačenje br.'!$M12,IF(COUNTIF('Prijava ekipa i izvlačenje br.'!$Q12,"A")=1,'Prijava ekipa i izvlačenje br.'!$P12,"")))))</f>
        <v>Zlatko Šapina</v>
      </c>
      <c r="D20" s="95">
        <f>IF(AND(ISNUMBER('Prijava ekipa i izvlačenje br.'!A12)=TRUE,ISNUMBER(E20)=TRUE),'Prijava ekipa i izvlačenje br.'!A12,IF(AND(ISNUMBER('Prijava ekipa i izvlačenje br.'!F12)=TRUE,COUNTIF('Prijava ekipa i izvlačenje br.'!$E12,"A")=1),'Prijava ekipa i izvlačenje br.'!F12,IF(AND(ISNUMBER('Prijava ekipa i izvlačenje br.'!I12)=TRUE,COUNTIF('Prijava ekipa i izvlačenje br.'!$H12,"A")=1),'Prijava ekipa i izvlačenje br.'!I12,IF(AND(ISNUMBER('Prijava ekipa i izvlačenje br.'!L12)=TRUE,COUNTIF('Prijava ekipa i izvlačenje br.'!$K12,"A")=1),'Prijava ekipa i izvlačenje br.'!L12,IF(AND(ISNUMBER('Prijava ekipa i izvlačenje br.'!O12)=TRUE,COUNTIF('Prijava ekipa i izvlačenje br.'!$N12,"A")=1),'Prijava ekipa i izvlačenje br.'!O12,IF(AND(ISNUMBER('Prijava ekipa i izvlačenje br.'!R12)=TRUE,COUNTIF('Prijava ekipa i izvlačenje br.'!$Q12,"A")=1),'Prijava ekipa i izvlačenje br.'!R12,""))))))</f>
        <v>11</v>
      </c>
      <c r="E20" s="112">
        <f>IF(ISBLANK('Upis rezultata A sektora'!F12)=TRUE,"",'Upis rezultata A sektora'!F12)</f>
        <v>2800</v>
      </c>
      <c r="F20" s="112">
        <f>IF(ISBLANK('Upis rezultata A sektora'!B12)=TRUE,"",'Upis rezultata A sektora'!B12)</f>
        <v>4</v>
      </c>
      <c r="G20" s="117">
        <f t="shared" si="4"/>
        <v>17</v>
      </c>
      <c r="H20" s="157" t="str">
        <f>IF(COUNTIF('Prijava ekipa i izvlačenje br.'!$E12,"B")=1,'Prijava ekipa i izvlačenje br.'!$D12,IF(COUNTIF('Prijava ekipa i izvlačenje br.'!$H12,"B")=1,'Prijava ekipa i izvlačenje br.'!$G12,IF(COUNTIF('Prijava ekipa i izvlačenje br.'!$K12,"B")=1,'Prijava ekipa i izvlačenje br.'!$J12,IF(COUNTIF('Prijava ekipa i izvlačenje br.'!$N12,"B")=1,'Prijava ekipa i izvlačenje br.'!$M12,IF(COUNTIF('Prijava ekipa i izvlačenje br.'!$Q12,"B")=1,'Prijava ekipa i izvlačenje br.'!$P12,"")))))</f>
        <v>Tomislav Duković</v>
      </c>
      <c r="I20" s="95">
        <f>IF(AND(ISNUMBER('Prijava ekipa i izvlačenje br.'!A12)=TRUE,ISNUMBER(J20)=TRUE),'Prijava ekipa i izvlačenje br.'!A12,IF(AND(ISNUMBER('Prijava ekipa i izvlačenje br.'!F12)=TRUE,COUNTIF('Prijava ekipa i izvlačenje br.'!$E12,"B")=1),'Prijava ekipa i izvlačenje br.'!F12,IF(AND(ISNUMBER('Prijava ekipa i izvlačenje br.'!I12)=TRUE,COUNTIF('Prijava ekipa i izvlačenje br.'!$H12,"B")=1),'Prijava ekipa i izvlačenje br.'!I12,IF(AND(ISNUMBER('Prijava ekipa i izvlačenje br.'!L12)=TRUE,COUNTIF('Prijava ekipa i izvlačenje br.'!$K12,"B")=1),'Prijava ekipa i izvlačenje br.'!L12,IF(AND(ISNUMBER('Prijava ekipa i izvlačenje br.'!O12)=TRUE,COUNTIF('Prijava ekipa i izvlačenje br.'!$N12,"B")=1),'Prijava ekipa i izvlačenje br.'!O12,IF(AND(ISNUMBER('Prijava ekipa i izvlačenje br.'!R12)=TRUE,COUNTIF('Prijava ekipa i izvlačenje br.'!$Q12,"B")=1),'Prijava ekipa i izvlačenje br.'!R12,""))))))</f>
        <v>11</v>
      </c>
      <c r="J20" s="112">
        <f>IF(ISBLANK('Upis rezultata B sektora'!F12)=TRUE,"",'Upis rezultata B sektora'!F12)</f>
        <v>1765</v>
      </c>
      <c r="K20" s="112">
        <f>IF(ISBLANK('Upis rezultata B sektora'!B12)=TRUE,"",'Upis rezultata B sektora'!B12)</f>
        <v>8.5</v>
      </c>
      <c r="L20" s="158">
        <f t="shared" si="5"/>
        <v>39</v>
      </c>
      <c r="M20" s="94" t="str">
        <f>IF(COUNTIF('Prijava ekipa i izvlačenje br.'!$E12,"C")=1,'Prijava ekipa i izvlačenje br.'!$D12,IF(COUNTIF('Prijava ekipa i izvlačenje br.'!$H12,"C")=1,'Prijava ekipa i izvlačenje br.'!$G12,IF(COUNTIF('Prijava ekipa i izvlačenje br.'!$K12,"C")=1,'Prijava ekipa i izvlačenje br.'!$J12,IF(COUNTIF('Prijava ekipa i izvlačenje br.'!$N12,"C")=1,'Prijava ekipa i izvlačenje br.'!$M12,IF(COUNTIF('Prijava ekipa i izvlačenje br.'!$Q12,"C")=1,'Prijava ekipa i izvlačenje br.'!$P12,"")))))</f>
        <v>Dražen Červeni</v>
      </c>
      <c r="N20" s="95">
        <f>IF(AND(ISNUMBER('Prijava ekipa i izvlačenje br.'!A12)=TRUE,ISNUMBER(O20)),'Prijava ekipa i izvlačenje br.'!A12,IF(AND(ISNUMBER('Prijava ekipa i izvlačenje br.'!F12)=TRUE,COUNTIF('Prijava ekipa i izvlačenje br.'!$E12,"C")=1),'Prijava ekipa i izvlačenje br.'!F12,IF(AND(ISNUMBER('Prijava ekipa i izvlačenje br.'!I12)=TRUE,COUNTIF('Prijava ekipa i izvlačenje br.'!$H12,"C")=1),'Prijava ekipa i izvlačenje br.'!I12,IF(AND(ISNUMBER('Prijava ekipa i izvlačenje br.'!L12)=TRUE,COUNTIF('Prijava ekipa i izvlačenje br.'!$K12,"C")=1),'Prijava ekipa i izvlačenje br.'!L12,IF(AND(ISNUMBER('Prijava ekipa i izvlačenje br.'!O12)=TRUE,COUNTIF('Prijava ekipa i izvlačenje br.'!$N12,"C")=1),'Prijava ekipa i izvlačenje br.'!O12,IF(AND(ISNUMBER('Prijava ekipa i izvlačenje br.'!R12)=TRUE,COUNTIF('Prijava ekipa i izvlačenje br.'!$Q12,"C")=1),'Prijava ekipa i izvlačenje br.'!R12,""))))))</f>
        <v>11</v>
      </c>
      <c r="O20" s="112">
        <f>IF(ISBLANK('Upis rezultata C sektora'!F12)=TRUE,"",'Upis rezultata C sektora'!F12)</f>
        <v>1765</v>
      </c>
      <c r="P20" s="112">
        <f>IF(ISBLANK('Upis rezultata C sektora'!B12)=TRUE,"",'Upis rezultata C sektora'!B12)</f>
        <v>6.5</v>
      </c>
      <c r="Q20" s="155">
        <f t="shared" si="6"/>
        <v>30</v>
      </c>
      <c r="R20" s="157" t="str">
        <f>IF(COUNTIF('Prijava ekipa i izvlačenje br.'!$E12,"D")=1,'Prijava ekipa i izvlačenje br.'!$D12,IF(COUNTIF('Prijava ekipa i izvlačenje br.'!$H12,"D")=1,'Prijava ekipa i izvlačenje br.'!$G12,IF(COUNTIF('Prijava ekipa i izvlačenje br.'!$K12,"D")=1,'Prijava ekipa i izvlačenje br.'!$J12,IF(COUNTIF('Prijava ekipa i izvlačenje br.'!$N12,"D")=1,'Prijava ekipa i izvlačenje br.'!$M12,IF(COUNTIF('Prijava ekipa i izvlačenje br.'!$Q12,"D")=1,'Prijava ekipa i izvlačenje br.'!$P12,"")))))</f>
        <v>Bengez Dražen</v>
      </c>
      <c r="S20" s="95">
        <f>IF(AND(ISNUMBER('Prijava ekipa i izvlačenje br.'!A12)=TRUE,ISNUMBER(T20)=TRUE),'Prijava ekipa i izvlačenje br.'!A12,IF(AND(ISNUMBER('Prijava ekipa i izvlačenje br.'!F12)=TRUE,COUNTIF('Prijava ekipa i izvlačenje br.'!$E12,"D")=1),'Prijava ekipa i izvlačenje br.'!F12,IF(AND(ISNUMBER('Prijava ekipa i izvlačenje br.'!I12)=TRUE,COUNTIF('Prijava ekipa i izvlačenje br.'!$H12,"D")=1),'Prijava ekipa i izvlačenje br.'!I12,IF(AND(ISNUMBER('Prijava ekipa i izvlačenje br.'!L12)=TRUE,COUNTIF('Prijava ekipa i izvlačenje br.'!$K12,"D")=1),'Prijava ekipa i izvlačenje br.'!L12,IF(AND(ISNUMBER('Prijava ekipa i izvlačenje br.'!O12)=TRUE,COUNTIF('Prijava ekipa i izvlačenje br.'!$N12,"D")=1),'Prijava ekipa i izvlačenje br.'!O12,IF(AND(ISNUMBER('Prijava ekipa i izvlačenje br.'!R12)=TRUE,COUNTIF('Prijava ekipa i izvlačenje br.'!$Q12,"D")=1),'Prijava ekipa i izvlačenje br.'!R12,""))))))</f>
        <v>11</v>
      </c>
      <c r="T20" s="112">
        <f>IF(ISBLANK('Upis rezultata D sektora'!F12)=TRUE,"",'Upis rezultata D sektora'!F12)</f>
        <v>1765</v>
      </c>
      <c r="U20" s="112">
        <f>IF(ISBLANK('Upis rezultata D sektora'!B12)=TRUE,"",'Upis rezultata D sektora'!B12)</f>
        <v>5.5</v>
      </c>
      <c r="V20" s="158">
        <f t="shared" si="7"/>
        <v>25</v>
      </c>
      <c r="W20" s="94" t="str">
        <f>IF(COUNTIF('Prijava ekipa i izvlačenje br.'!$E12,"E")=1,'Prijava ekipa i izvlačenje br.'!$D12,IF(COUNTIF('Prijava ekipa i izvlačenje br.'!$H12,"E")=1,'Prijava ekipa i izvlačenje br.'!$G12,IF(COUNTIF('Prijava ekipa i izvlačenje br.'!$K12,"E")=1,'Prijava ekipa i izvlačenje br.'!$J12,IF(COUNTIF('Prijava ekipa i izvlačenje br.'!$N12,"E")=1,'Prijava ekipa i izvlačenje br.'!$M12,IF(COUNTIF('Prijava ekipa i izvlačenje br.'!$Q12,"E")=1,'Prijava ekipa i izvlačenje br.'!$P12,"")))))</f>
        <v>Josip Kutlić</v>
      </c>
      <c r="X20" s="95">
        <f>IF(AND(ISNUMBER('Prijava ekipa i izvlačenje br.'!A12)=TRUE,ISNUMBER(Y20)=TRUE),'Prijava ekipa i izvlačenje br.'!A12,IF(AND(ISNUMBER('Prijava ekipa i izvlačenje br.'!F12)=TRUE,COUNTIF('Prijava ekipa i izvlačenje br.'!$E12,"E")=1),'Prijava ekipa i izvlačenje br.'!F12,IF(AND(ISNUMBER('Prijava ekipa i izvlačenje br.'!I12)=TRUE,COUNTIF('Prijava ekipa i izvlačenje br.'!$H12,"E")=1),'Prijava ekipa i izvlačenje br.'!I12,IF(AND(ISNUMBER('Prijava ekipa i izvlačenje br.'!L12)=TRUE,COUNTIF('Prijava ekipa i izvlačenje br.'!$K12,"E")=1),'Prijava ekipa i izvlačenje br.'!L12,IF(AND(ISNUMBER('Prijava ekipa i izvlačenje br.'!O12)=TRUE,COUNTIF('Prijava ekipa i izvlačenje br.'!$N12,"E")=1),'Prijava ekipa i izvlačenje br.'!O12,IF(AND(ISNUMBER('Prijava ekipa i izvlačenje br.'!R12)=TRUE,COUNTIF('Prijava ekipa i izvlačenje br.'!$Q12,"E")=1),'Prijava ekipa i izvlačenje br.'!R12,""))))))</f>
        <v>11</v>
      </c>
      <c r="Y20" s="112">
        <f>IF(ISBLANK('Upis rezultata E sektora'!F12)=TRUE,"",'Upis rezultata E sektora'!F12)</f>
        <v>1765</v>
      </c>
      <c r="Z20" s="112">
        <f>IF(ISBLANK('Upis rezultata E sektora'!B12)=TRUE,"",'Upis rezultata E sektora'!B12)</f>
        <v>3.5</v>
      </c>
      <c r="AA20" s="117">
        <f t="shared" si="8"/>
        <v>15</v>
      </c>
      <c r="AB20" s="113">
        <f t="shared" si="9"/>
        <v>28</v>
      </c>
      <c r="AC20" s="112">
        <f t="shared" si="10"/>
        <v>9860</v>
      </c>
      <c r="AD20" s="148">
        <f t="shared" si="0"/>
        <v>3</v>
      </c>
      <c r="AG20" s="197">
        <f t="shared" si="11"/>
        <v>9860</v>
      </c>
      <c r="AH20" s="68">
        <f t="shared" si="12"/>
        <v>27.901397199999998</v>
      </c>
      <c r="AI20" s="68">
        <f t="shared" si="13"/>
        <v>2800</v>
      </c>
      <c r="AJ20" s="68">
        <f t="shared" si="1"/>
        <v>4</v>
      </c>
      <c r="AK20" s="68">
        <f t="shared" si="14"/>
        <v>2800</v>
      </c>
      <c r="AL20" s="68">
        <f t="shared" si="2"/>
        <v>17</v>
      </c>
      <c r="AM20" s="68">
        <f t="shared" si="3"/>
        <v>3.972</v>
      </c>
    </row>
    <row r="21" spans="1:39" s="72" customFormat="1" ht="52.5" customHeight="1" thickBot="1">
      <c r="A21" s="233">
        <f>IF(OR(ISNUMBER(D21)=TRUE,ISNUMBER(I21)=TRUE,ISNUMBER(N21)=TRUE,ISNUMBER(S21)=TRUE,ISNUMBER(X21)=TRUE),12,"")</f>
        <v>12</v>
      </c>
      <c r="B21" s="162" t="str">
        <f>IF(ISBLANK('Prijava ekipa i izvlačenje br.'!C13)=TRUE,"",'Prijava ekipa i izvlačenje br.'!C13)</f>
        <v>Jez Jasenovac</v>
      </c>
      <c r="C21" s="164" t="str">
        <f>IF(COUNTIF('Prijava ekipa i izvlačenje br.'!$E13,"A")=1,'Prijava ekipa i izvlačenje br.'!$D13,IF(COUNTIF('Prijava ekipa i izvlačenje br.'!$H13,"A")=1,'Prijava ekipa i izvlačenje br.'!$G13,IF(COUNTIF('Prijava ekipa i izvlačenje br.'!$K13,"A")=1,'Prijava ekipa i izvlačenje br.'!$J13,IF(COUNTIF('Prijava ekipa i izvlačenje br.'!$N13,"A")=1,'Prijava ekipa i izvlačenje br.'!$M13,IF(COUNTIF('Prijava ekipa i izvlačenje br.'!$Q13,"A")=1,'Prijava ekipa i izvlačenje br.'!$P13,"")))))</f>
        <v>Mladen Meseš</v>
      </c>
      <c r="D21" s="149">
        <f>IF(AND(ISNUMBER('Prijava ekipa i izvlačenje br.'!A13)=TRUE,ISNUMBER(E21)=TRUE),'Prijava ekipa i izvlačenje br.'!A13,IF(AND(ISNUMBER('Prijava ekipa i izvlačenje br.'!F13)=TRUE,COUNTIF('Prijava ekipa i izvlačenje br.'!$E13,"A")=1),'Prijava ekipa i izvlačenje br.'!F13,IF(AND(ISNUMBER('Prijava ekipa i izvlačenje br.'!I13)=TRUE,COUNTIF('Prijava ekipa i izvlačenje br.'!$H13,"A")=1),'Prijava ekipa i izvlačenje br.'!I13,IF(AND(ISNUMBER('Prijava ekipa i izvlačenje br.'!L13)=TRUE,COUNTIF('Prijava ekipa i izvlačenje br.'!$K13,"A")=1),'Prijava ekipa i izvlačenje br.'!L13,IF(AND(ISNUMBER('Prijava ekipa i izvlačenje br.'!O13)=TRUE,COUNTIF('Prijava ekipa i izvlačenje br.'!$N13,"A")=1),'Prijava ekipa i izvlačenje br.'!O13,IF(AND(ISNUMBER('Prijava ekipa i izvlačenje br.'!R13)=TRUE,COUNTIF('Prijava ekipa i izvlačenje br.'!$Q13,"A")=1),'Prijava ekipa i izvlačenje br.'!R13,""))))))</f>
        <v>12</v>
      </c>
      <c r="E21" s="150">
        <f>IF(ISBLANK('Upis rezultata A sektora'!F13)=TRUE,"",'Upis rezultata A sektora'!F13)</f>
        <v>1680</v>
      </c>
      <c r="F21" s="150">
        <f>IF(ISBLANK('Upis rezultata A sektora'!B13)=TRUE,"",'Upis rezultata A sektora'!B13)</f>
        <v>7</v>
      </c>
      <c r="G21" s="153">
        <f t="shared" si="4"/>
        <v>33</v>
      </c>
      <c r="H21" s="159" t="str">
        <f>IF(COUNTIF('Prijava ekipa i izvlačenje br.'!$E13,"B")=1,'Prijava ekipa i izvlačenje br.'!$D13,IF(COUNTIF('Prijava ekipa i izvlačenje br.'!$H13,"B")=1,'Prijava ekipa i izvlačenje br.'!$G13,IF(COUNTIF('Prijava ekipa i izvlačenje br.'!$K13,"B")=1,'Prijava ekipa i izvlačenje br.'!$J13,IF(COUNTIF('Prijava ekipa i izvlačenje br.'!$N13,"B")=1,'Prijava ekipa i izvlačenje br.'!$M13,IF(COUNTIF('Prijava ekipa i izvlačenje br.'!$Q13,"B")=1,'Prijava ekipa i izvlačenje br.'!$P13,"")))))</f>
        <v>Marijan Kumić</v>
      </c>
      <c r="I21" s="149">
        <f>IF(AND(ISNUMBER('Prijava ekipa i izvlačenje br.'!A13)=TRUE,ISNUMBER(J21)=TRUE),'Prijava ekipa i izvlačenje br.'!A13,IF(AND(ISNUMBER('Prijava ekipa i izvlačenje br.'!F13)=TRUE,COUNTIF('Prijava ekipa i izvlačenje br.'!$E13,"B")=1),'Prijava ekipa i izvlačenje br.'!F13,IF(AND(ISNUMBER('Prijava ekipa i izvlačenje br.'!I13)=TRUE,COUNTIF('Prijava ekipa i izvlačenje br.'!$H13,"B")=1),'Prijava ekipa i izvlačenje br.'!I13,IF(AND(ISNUMBER('Prijava ekipa i izvlačenje br.'!L13)=TRUE,COUNTIF('Prijava ekipa i izvlačenje br.'!$K13,"B")=1),'Prijava ekipa i izvlačenje br.'!L13,IF(AND(ISNUMBER('Prijava ekipa i izvlačenje br.'!O13)=TRUE,COUNTIF('Prijava ekipa i izvlačenje br.'!$N13,"B")=1),'Prijava ekipa i izvlačenje br.'!O13,IF(AND(ISNUMBER('Prijava ekipa i izvlačenje br.'!R13)=TRUE,COUNTIF('Prijava ekipa i izvlačenje br.'!$Q13,"B")=1),'Prijava ekipa i izvlačenje br.'!R13,""))))))</f>
        <v>12</v>
      </c>
      <c r="J21" s="150">
        <f>IF(ISBLANK('Upis rezultata B sektora'!F13)=TRUE,"",'Upis rezultata B sektora'!F13)</f>
        <v>3700</v>
      </c>
      <c r="K21" s="150">
        <f>IF(ISBLANK('Upis rezultata B sektora'!B13)=TRUE,"",'Upis rezultata B sektora'!B13)</f>
        <v>2</v>
      </c>
      <c r="L21" s="160">
        <f t="shared" si="5"/>
        <v>9</v>
      </c>
      <c r="M21" s="151" t="str">
        <f>IF(COUNTIF('Prijava ekipa i izvlačenje br.'!$E13,"C")=1,'Prijava ekipa i izvlačenje br.'!$D13,IF(COUNTIF('Prijava ekipa i izvlačenje br.'!$H13,"C")=1,'Prijava ekipa i izvlačenje br.'!$G13,IF(COUNTIF('Prijava ekipa i izvlačenje br.'!$K13,"C")=1,'Prijava ekipa i izvlačenje br.'!$J13,IF(COUNTIF('Prijava ekipa i izvlačenje br.'!$N13,"C")=1,'Prijava ekipa i izvlačenje br.'!$M13,IF(COUNTIF('Prijava ekipa i izvlačenje br.'!$Q13,"C")=1,'Prijava ekipa i izvlačenje br.'!$P13,"")))))</f>
        <v>Siniša Finek</v>
      </c>
      <c r="N21" s="149">
        <f>IF(AND(ISNUMBER('Prijava ekipa i izvlačenje br.'!A13)=TRUE,ISNUMBER(O21)),'Prijava ekipa i izvlačenje br.'!A13,IF(AND(ISNUMBER('Prijava ekipa i izvlačenje br.'!F13)=TRUE,COUNTIF('Prijava ekipa i izvlačenje br.'!$E13,"C")=1),'Prijava ekipa i izvlačenje br.'!F13,IF(AND(ISNUMBER('Prijava ekipa i izvlačenje br.'!I13)=TRUE,COUNTIF('Prijava ekipa i izvlačenje br.'!$H13,"C")=1),'Prijava ekipa i izvlačenje br.'!I13,IF(AND(ISNUMBER('Prijava ekipa i izvlačenje br.'!L13)=TRUE,COUNTIF('Prijava ekipa i izvlačenje br.'!$K13,"C")=1),'Prijava ekipa i izvlačenje br.'!L13,IF(AND(ISNUMBER('Prijava ekipa i izvlačenje br.'!O13)=TRUE,COUNTIF('Prijava ekipa i izvlačenje br.'!$N13,"C")=1),'Prijava ekipa i izvlačenje br.'!O13,IF(AND(ISNUMBER('Prijava ekipa i izvlačenje br.'!R13)=TRUE,COUNTIF('Prijava ekipa i izvlačenje br.'!$Q13,"C")=1),'Prijava ekipa i izvlačenje br.'!R13,""))))))</f>
        <v>12</v>
      </c>
      <c r="O21" s="150">
        <f>IF(ISBLANK('Upis rezultata C sektora'!F13)=TRUE,"",'Upis rezultata C sektora'!F13)</f>
        <v>4500</v>
      </c>
      <c r="P21" s="150">
        <f>IF(ISBLANK('Upis rezultata C sektora'!B13)=TRUE,"",'Upis rezultata C sektora'!B13)</f>
        <v>3</v>
      </c>
      <c r="Q21" s="156">
        <f t="shared" si="6"/>
        <v>11</v>
      </c>
      <c r="R21" s="159" t="str">
        <f>IF(COUNTIF('Prijava ekipa i izvlačenje br.'!$E13,"D")=1,'Prijava ekipa i izvlačenje br.'!$D13,IF(COUNTIF('Prijava ekipa i izvlačenje br.'!$H13,"D")=1,'Prijava ekipa i izvlačenje br.'!$G13,IF(COUNTIF('Prijava ekipa i izvlačenje br.'!$K13,"D")=1,'Prijava ekipa i izvlačenje br.'!$J13,IF(COUNTIF('Prijava ekipa i izvlačenje br.'!$N13,"D")=1,'Prijava ekipa i izvlačenje br.'!$M13,IF(COUNTIF('Prijava ekipa i izvlačenje br.'!$Q13,"D")=1,'Prijava ekipa i izvlačenje br.'!$P13,"")))))</f>
        <v>Mario Akmačić</v>
      </c>
      <c r="S21" s="149">
        <f>IF(AND(ISNUMBER('Prijava ekipa i izvlačenje br.'!A13)=TRUE,ISNUMBER(T21)=TRUE),'Prijava ekipa i izvlačenje br.'!A13,IF(AND(ISNUMBER('Prijava ekipa i izvlačenje br.'!F13)=TRUE,COUNTIF('Prijava ekipa i izvlačenje br.'!$E13,"D")=1),'Prijava ekipa i izvlačenje br.'!F13,IF(AND(ISNUMBER('Prijava ekipa i izvlačenje br.'!I13)=TRUE,COUNTIF('Prijava ekipa i izvlačenje br.'!$H13,"D")=1),'Prijava ekipa i izvlačenje br.'!I13,IF(AND(ISNUMBER('Prijava ekipa i izvlačenje br.'!L13)=TRUE,COUNTIF('Prijava ekipa i izvlačenje br.'!$K13,"D")=1),'Prijava ekipa i izvlačenje br.'!L13,IF(AND(ISNUMBER('Prijava ekipa i izvlačenje br.'!O13)=TRUE,COUNTIF('Prijava ekipa i izvlačenje br.'!$N13,"D")=1),'Prijava ekipa i izvlačenje br.'!O13,IF(AND(ISNUMBER('Prijava ekipa i izvlačenje br.'!R13)=TRUE,COUNTIF('Prijava ekipa i izvlačenje br.'!$Q13,"D")=1),'Prijava ekipa i izvlačenje br.'!R13,""))))))</f>
        <v>12</v>
      </c>
      <c r="T21" s="150">
        <f>IF(ISBLANK('Upis rezultata D sektora'!F13)=TRUE,"",'Upis rezultata D sektora'!F13)</f>
        <v>2970</v>
      </c>
      <c r="U21" s="150">
        <f>IF(ISBLANK('Upis rezultata D sektora'!B13)=TRUE,"",'Upis rezultata D sektora'!B13)</f>
        <v>3</v>
      </c>
      <c r="V21" s="160">
        <f t="shared" si="7"/>
        <v>13</v>
      </c>
      <c r="W21" s="151" t="str">
        <f>IF(COUNTIF('Prijava ekipa i izvlačenje br.'!$E13,"E")=1,'Prijava ekipa i izvlačenje br.'!$D13,IF(COUNTIF('Prijava ekipa i izvlačenje br.'!$H13,"E")=1,'Prijava ekipa i izvlačenje br.'!$G13,IF(COUNTIF('Prijava ekipa i izvlačenje br.'!$K13,"E")=1,'Prijava ekipa i izvlačenje br.'!$J13,IF(COUNTIF('Prijava ekipa i izvlačenje br.'!$N13,"E")=1,'Prijava ekipa i izvlačenje br.'!$M13,IF(COUNTIF('Prijava ekipa i izvlačenje br.'!$Q13,"E")=1,'Prijava ekipa i izvlačenje br.'!$P13,"")))))</f>
        <v>Ivan Finek</v>
      </c>
      <c r="X21" s="149">
        <f>IF(AND(ISNUMBER('Prijava ekipa i izvlačenje br.'!A13)=TRUE,ISNUMBER(Y21)=TRUE),'Prijava ekipa i izvlačenje br.'!A13,IF(AND(ISNUMBER('Prijava ekipa i izvlačenje br.'!F13)=TRUE,COUNTIF('Prijava ekipa i izvlačenje br.'!$E13,"E")=1),'Prijava ekipa i izvlačenje br.'!F13,IF(AND(ISNUMBER('Prijava ekipa i izvlačenje br.'!I13)=TRUE,COUNTIF('Prijava ekipa i izvlačenje br.'!$H13,"E")=1),'Prijava ekipa i izvlačenje br.'!I13,IF(AND(ISNUMBER('Prijava ekipa i izvlačenje br.'!L13)=TRUE,COUNTIF('Prijava ekipa i izvlačenje br.'!$K13,"E")=1),'Prijava ekipa i izvlačenje br.'!L13,IF(AND(ISNUMBER('Prijava ekipa i izvlačenje br.'!O13)=TRUE,COUNTIF('Prijava ekipa i izvlačenje br.'!$N13,"E")=1),'Prijava ekipa i izvlačenje br.'!O13,IF(AND(ISNUMBER('Prijava ekipa i izvlačenje br.'!R13)=TRUE,COUNTIF('Prijava ekipa i izvlačenje br.'!$Q13,"E")=1),'Prijava ekipa i izvlačenje br.'!R13,""))))))</f>
        <v>12</v>
      </c>
      <c r="Y21" s="150">
        <f>IF(ISBLANK('Upis rezultata E sektora'!F13)=TRUE,"",'Upis rezultata E sektora'!F13)</f>
        <v>3800</v>
      </c>
      <c r="Z21" s="150">
        <f>IF(ISBLANK('Upis rezultata E sektora'!B13)=TRUE,"",'Upis rezultata E sektora'!B13)</f>
        <v>2</v>
      </c>
      <c r="AA21" s="153">
        <f t="shared" si="8"/>
        <v>8</v>
      </c>
      <c r="AB21" s="152">
        <f t="shared" si="9"/>
        <v>17</v>
      </c>
      <c r="AC21" s="198">
        <f t="shared" si="10"/>
        <v>16650</v>
      </c>
      <c r="AD21" s="154">
        <f>IF(AND(ISNUMBER(E21)=FALSE,ISNUMBER(J21)=FALSE,ISNUMBER(O21)=FALSE,ISNUMBER(T21)=FALSE,ISNUMBER(Y21)=FALSE,ISNUMBER(AB21)=TRUE),(COUNTA(B$10:B$21)-COUNTIF(B$10:B$21,""))+1,IF(ISNUMBER(AB21)=TRUE,RANK(AH21,$AH$10:$AH$21,1),""))</f>
        <v>2</v>
      </c>
      <c r="AG21" s="197">
        <f t="shared" si="11"/>
        <v>16650</v>
      </c>
      <c r="AH21" s="68">
        <f t="shared" si="12"/>
        <v>16.8334955</v>
      </c>
      <c r="AI21" s="68">
        <f t="shared" si="13"/>
        <v>4500</v>
      </c>
      <c r="AJ21" s="68">
        <f t="shared" si="1"/>
        <v>7</v>
      </c>
      <c r="AK21" s="68">
        <f t="shared" si="14"/>
        <v>1680</v>
      </c>
      <c r="AL21" s="68">
        <f t="shared" si="2"/>
        <v>33</v>
      </c>
      <c r="AM21" s="68">
        <f t="shared" si="3"/>
        <v>6.9832</v>
      </c>
    </row>
    <row r="22" spans="26:39" ht="20.25">
      <c r="Z22" s="26"/>
      <c r="AA22" s="71"/>
      <c r="AJ22" s="68">
        <f aca="true" t="shared" si="15" ref="AJ22:AJ33">IF(ISNUMBER(K10)=TRUE,K10,"")</f>
        <v>1</v>
      </c>
      <c r="AK22" s="68">
        <f>IF(ISNUMBER(J10)=TRUE,J10,0)</f>
        <v>5000</v>
      </c>
      <c r="AL22" s="68">
        <f t="shared" si="2"/>
        <v>1</v>
      </c>
      <c r="AM22" s="68">
        <f t="shared" si="3"/>
        <v>0.95</v>
      </c>
    </row>
    <row r="23" spans="26:39" ht="20.25">
      <c r="Z23" s="26"/>
      <c r="AA23" s="71"/>
      <c r="AJ23" s="68">
        <f t="shared" si="15"/>
        <v>3</v>
      </c>
      <c r="AK23" s="68">
        <f aca="true" t="shared" si="16" ref="AK23:AK33">IF(ISNUMBER(J11)=TRUE,J11,0)</f>
        <v>2536</v>
      </c>
      <c r="AL23" s="68">
        <f t="shared" si="2"/>
        <v>14</v>
      </c>
      <c r="AM23" s="68">
        <f t="shared" si="3"/>
        <v>2.97464</v>
      </c>
    </row>
    <row r="24" spans="36:39" ht="20.25">
      <c r="AJ24" s="68">
        <f t="shared" si="15"/>
        <v>4</v>
      </c>
      <c r="AK24" s="68">
        <f t="shared" si="16"/>
        <v>2452</v>
      </c>
      <c r="AL24" s="68">
        <f t="shared" si="2"/>
        <v>18</v>
      </c>
      <c r="AM24" s="68">
        <f t="shared" si="3"/>
        <v>3.97548</v>
      </c>
    </row>
    <row r="25" spans="2:39" ht="27">
      <c r="B25" s="93" t="s">
        <v>217</v>
      </c>
      <c r="N25" s="93" t="s">
        <v>125</v>
      </c>
      <c r="AB25" s="93" t="s">
        <v>126</v>
      </c>
      <c r="AJ25" s="68">
        <f t="shared" si="15"/>
        <v>5</v>
      </c>
      <c r="AK25" s="68">
        <f t="shared" si="16"/>
        <v>2320</v>
      </c>
      <c r="AL25" s="68">
        <f t="shared" si="2"/>
        <v>21</v>
      </c>
      <c r="AM25" s="68">
        <f t="shared" si="3"/>
        <v>4.9768</v>
      </c>
    </row>
    <row r="26" spans="2:39" ht="27">
      <c r="B26" s="93" t="str">
        <f>IF(ISBLANK('Organizacija natjecanja'!$H$20)=TRUE,"",'Organizacija natjecanja'!$H$20)</f>
        <v>Mladen Čačić</v>
      </c>
      <c r="N26" s="93" t="str">
        <f>IF(ISBLANK('Organizacija natjecanja'!$H$16)=TRUE,"",'Organizacija natjecanja'!$H$16)</f>
        <v>Antun Kedmenec</v>
      </c>
      <c r="AB26" s="93" t="str">
        <f>IF(ISBLANK('Organizacija natjecanja'!$H$18)=TRUE,"",'Organizacija natjecanja'!$H$18)</f>
        <v>Pavao Umnik</v>
      </c>
      <c r="AJ26" s="68">
        <f t="shared" si="15"/>
        <v>12</v>
      </c>
      <c r="AK26" s="68">
        <f t="shared" si="16"/>
        <v>1004</v>
      </c>
      <c r="AL26" s="68">
        <f t="shared" si="2"/>
        <v>57</v>
      </c>
      <c r="AM26" s="68">
        <f t="shared" si="3"/>
        <v>11.98996</v>
      </c>
    </row>
    <row r="27" spans="36:39" ht="20.25">
      <c r="AJ27" s="68">
        <f t="shared" si="15"/>
        <v>10.5</v>
      </c>
      <c r="AK27" s="68">
        <f t="shared" si="16"/>
        <v>1119</v>
      </c>
      <c r="AL27" s="68">
        <f t="shared" si="2"/>
        <v>50</v>
      </c>
      <c r="AM27" s="68">
        <f t="shared" si="3"/>
        <v>10.48881</v>
      </c>
    </row>
    <row r="28" spans="36:39" ht="20.25">
      <c r="AJ28" s="68">
        <f t="shared" si="15"/>
        <v>7</v>
      </c>
      <c r="AK28" s="68">
        <f t="shared" si="16"/>
        <v>1895</v>
      </c>
      <c r="AL28" s="68">
        <f t="shared" si="2"/>
        <v>32</v>
      </c>
      <c r="AM28" s="68">
        <f t="shared" si="3"/>
        <v>6.98105</v>
      </c>
    </row>
    <row r="29" spans="36:39" ht="20.25">
      <c r="AJ29" s="68">
        <f t="shared" si="15"/>
        <v>6</v>
      </c>
      <c r="AK29" s="68">
        <f t="shared" si="16"/>
        <v>1953</v>
      </c>
      <c r="AL29" s="68">
        <f t="shared" si="2"/>
        <v>27</v>
      </c>
      <c r="AM29" s="68">
        <f t="shared" si="3"/>
        <v>5.98047</v>
      </c>
    </row>
    <row r="30" spans="36:39" ht="20.25">
      <c r="AJ30" s="68">
        <f t="shared" si="15"/>
        <v>10.5</v>
      </c>
      <c r="AK30" s="68">
        <f t="shared" si="16"/>
        <v>1119</v>
      </c>
      <c r="AL30" s="68">
        <f t="shared" si="2"/>
        <v>50</v>
      </c>
      <c r="AM30" s="68">
        <f t="shared" si="3"/>
        <v>10.48881</v>
      </c>
    </row>
    <row r="31" spans="36:39" ht="20.25">
      <c r="AJ31" s="68">
        <f t="shared" si="15"/>
        <v>8.5</v>
      </c>
      <c r="AK31" s="68">
        <f t="shared" si="16"/>
        <v>1765</v>
      </c>
      <c r="AL31" s="68">
        <f t="shared" si="2"/>
        <v>39</v>
      </c>
      <c r="AM31" s="68">
        <f t="shared" si="3"/>
        <v>8.48235</v>
      </c>
    </row>
    <row r="32" spans="36:39" ht="20.25">
      <c r="AJ32" s="68">
        <f t="shared" si="15"/>
        <v>8.5</v>
      </c>
      <c r="AK32" s="68">
        <f t="shared" si="16"/>
        <v>1765</v>
      </c>
      <c r="AL32" s="68">
        <f t="shared" si="2"/>
        <v>39</v>
      </c>
      <c r="AM32" s="68">
        <f t="shared" si="3"/>
        <v>8.48235</v>
      </c>
    </row>
    <row r="33" spans="36:39" ht="20.25">
      <c r="AJ33" s="68">
        <f t="shared" si="15"/>
        <v>2</v>
      </c>
      <c r="AK33" s="68">
        <f t="shared" si="16"/>
        <v>3700</v>
      </c>
      <c r="AL33" s="68">
        <f t="shared" si="2"/>
        <v>9</v>
      </c>
      <c r="AM33" s="68">
        <f t="shared" si="3"/>
        <v>1.963</v>
      </c>
    </row>
    <row r="34" spans="36:39" ht="20.25">
      <c r="AJ34" s="68">
        <f aca="true" t="shared" si="17" ref="AJ34:AJ45">IF(ISNUMBER(P10)=TRUE,P10,"")</f>
        <v>1</v>
      </c>
      <c r="AK34" s="68">
        <f>IF(ISNUMBER(O10)=TRUE,O10,0)</f>
        <v>5000</v>
      </c>
      <c r="AL34" s="68">
        <f t="shared" si="2"/>
        <v>1</v>
      </c>
      <c r="AM34" s="68">
        <f t="shared" si="3"/>
        <v>0.95</v>
      </c>
    </row>
    <row r="35" spans="36:39" ht="20.25">
      <c r="AJ35" s="68">
        <f t="shared" si="17"/>
        <v>8</v>
      </c>
      <c r="AK35" s="68">
        <f aca="true" t="shared" si="18" ref="AK35:AK45">IF(ISNUMBER(O11)=TRUE,O11,0)</f>
        <v>1354</v>
      </c>
      <c r="AL35" s="68">
        <f t="shared" si="2"/>
        <v>37</v>
      </c>
      <c r="AM35" s="68">
        <f t="shared" si="3"/>
        <v>7.98646</v>
      </c>
    </row>
    <row r="36" spans="36:39" ht="20.25">
      <c r="AJ36" s="68">
        <f t="shared" si="17"/>
        <v>2</v>
      </c>
      <c r="AK36" s="68">
        <f t="shared" si="18"/>
        <v>4740</v>
      </c>
      <c r="AL36" s="68">
        <f t="shared" si="2"/>
        <v>6</v>
      </c>
      <c r="AM36" s="68">
        <f t="shared" si="3"/>
        <v>1.9526</v>
      </c>
    </row>
    <row r="37" spans="36:39" ht="20.25">
      <c r="AJ37" s="68">
        <f t="shared" si="17"/>
        <v>11</v>
      </c>
      <c r="AK37" s="68">
        <f t="shared" si="18"/>
        <v>670</v>
      </c>
      <c r="AL37" s="68">
        <f t="shared" si="2"/>
        <v>55</v>
      </c>
      <c r="AM37" s="68">
        <f t="shared" si="3"/>
        <v>10.9933</v>
      </c>
    </row>
    <row r="38" spans="36:39" ht="20.25">
      <c r="AJ38" s="68">
        <f t="shared" si="17"/>
        <v>10</v>
      </c>
      <c r="AK38" s="68">
        <f t="shared" si="18"/>
        <v>930</v>
      </c>
      <c r="AL38" s="68">
        <f t="shared" si="2"/>
        <v>47</v>
      </c>
      <c r="AM38" s="68">
        <f t="shared" si="3"/>
        <v>9.9907</v>
      </c>
    </row>
    <row r="39" spans="36:39" ht="20.25">
      <c r="AJ39" s="68">
        <f t="shared" si="17"/>
        <v>4</v>
      </c>
      <c r="AK39" s="68">
        <f t="shared" si="18"/>
        <v>2005</v>
      </c>
      <c r="AL39" s="68">
        <f t="shared" si="2"/>
        <v>19</v>
      </c>
      <c r="AM39" s="68">
        <f t="shared" si="3"/>
        <v>3.97995</v>
      </c>
    </row>
    <row r="40" spans="36:39" ht="20.25">
      <c r="AJ40" s="68">
        <f t="shared" si="17"/>
        <v>5</v>
      </c>
      <c r="AK40" s="68">
        <f t="shared" si="18"/>
        <v>1790</v>
      </c>
      <c r="AL40" s="68">
        <f t="shared" si="2"/>
        <v>23</v>
      </c>
      <c r="AM40" s="68">
        <f t="shared" si="3"/>
        <v>4.9821</v>
      </c>
    </row>
    <row r="41" spans="36:39" ht="20.25">
      <c r="AJ41" s="68">
        <f t="shared" si="17"/>
        <v>9</v>
      </c>
      <c r="AK41" s="68">
        <f t="shared" si="18"/>
        <v>1325</v>
      </c>
      <c r="AL41" s="68">
        <f t="shared" si="2"/>
        <v>43</v>
      </c>
      <c r="AM41" s="68">
        <f t="shared" si="3"/>
        <v>8.98675</v>
      </c>
    </row>
    <row r="42" spans="36:39" ht="20.25">
      <c r="AJ42" s="68">
        <f t="shared" si="17"/>
        <v>12</v>
      </c>
      <c r="AK42" s="68">
        <f t="shared" si="18"/>
        <v>608</v>
      </c>
      <c r="AL42" s="68">
        <f aca="true" t="shared" si="19" ref="AL42:AL69">IF(ISNUMBER(AM42)=TRUE,RANK(AM42,$AM$10:$AM$69,1),"")</f>
        <v>58</v>
      </c>
      <c r="AM42" s="68">
        <f aca="true" t="shared" si="20" ref="AM42:AM73">IF(ISNUMBER(AJ42)=TRUE,AJ42-AK42/100000,"")</f>
        <v>11.99392</v>
      </c>
    </row>
    <row r="43" spans="36:39" ht="20.25">
      <c r="AJ43" s="68">
        <f t="shared" si="17"/>
        <v>6.5</v>
      </c>
      <c r="AK43" s="68">
        <f t="shared" si="18"/>
        <v>1765</v>
      </c>
      <c r="AL43" s="68">
        <f t="shared" si="19"/>
        <v>30</v>
      </c>
      <c r="AM43" s="68">
        <f t="shared" si="20"/>
        <v>6.48235</v>
      </c>
    </row>
    <row r="44" spans="36:39" ht="20.25">
      <c r="AJ44" s="68">
        <f t="shared" si="17"/>
        <v>6.5</v>
      </c>
      <c r="AK44" s="68">
        <f t="shared" si="18"/>
        <v>1765</v>
      </c>
      <c r="AL44" s="68">
        <f t="shared" si="19"/>
        <v>30</v>
      </c>
      <c r="AM44" s="68">
        <f t="shared" si="20"/>
        <v>6.48235</v>
      </c>
    </row>
    <row r="45" spans="36:39" ht="20.25">
      <c r="AJ45" s="68">
        <f t="shared" si="17"/>
        <v>3</v>
      </c>
      <c r="AK45" s="68">
        <f t="shared" si="18"/>
        <v>4500</v>
      </c>
      <c r="AL45" s="68">
        <f t="shared" si="19"/>
        <v>11</v>
      </c>
      <c r="AM45" s="68">
        <f t="shared" si="20"/>
        <v>2.955</v>
      </c>
    </row>
    <row r="46" spans="36:39" ht="20.25">
      <c r="AJ46" s="68">
        <f aca="true" t="shared" si="21" ref="AJ46:AJ57">IF(ISNUMBER(U10)=TRUE,U10,"")</f>
        <v>1</v>
      </c>
      <c r="AK46" s="68">
        <f>IF(ISNUMBER(T10)=TRUE,T10,0)</f>
        <v>5000</v>
      </c>
      <c r="AL46" s="68">
        <f t="shared" si="19"/>
        <v>1</v>
      </c>
      <c r="AM46" s="68">
        <f t="shared" si="20"/>
        <v>0.95</v>
      </c>
    </row>
    <row r="47" spans="36:39" ht="20.25">
      <c r="AJ47" s="68">
        <f t="shared" si="21"/>
        <v>11</v>
      </c>
      <c r="AK47" s="68">
        <f aca="true" t="shared" si="22" ref="AK47:AK57">IF(ISNUMBER(T11)=TRUE,T11,0)</f>
        <v>1098</v>
      </c>
      <c r="AL47" s="68">
        <f t="shared" si="19"/>
        <v>54</v>
      </c>
      <c r="AM47" s="68">
        <f t="shared" si="20"/>
        <v>10.98902</v>
      </c>
    </row>
    <row r="48" spans="36:39" ht="20.25">
      <c r="AJ48" s="68">
        <f t="shared" si="21"/>
        <v>10</v>
      </c>
      <c r="AK48" s="68">
        <f t="shared" si="22"/>
        <v>1256</v>
      </c>
      <c r="AL48" s="68">
        <f t="shared" si="19"/>
        <v>46</v>
      </c>
      <c r="AM48" s="68">
        <f t="shared" si="20"/>
        <v>9.98744</v>
      </c>
    </row>
    <row r="49" spans="36:39" ht="20.25">
      <c r="AJ49" s="68">
        <f t="shared" si="21"/>
        <v>9</v>
      </c>
      <c r="AK49" s="68">
        <f t="shared" si="22"/>
        <v>1325</v>
      </c>
      <c r="AL49" s="68">
        <f t="shared" si="19"/>
        <v>43</v>
      </c>
      <c r="AM49" s="68">
        <f t="shared" si="20"/>
        <v>8.98675</v>
      </c>
    </row>
    <row r="50" spans="36:39" ht="20.25">
      <c r="AJ50" s="68">
        <f t="shared" si="21"/>
        <v>2</v>
      </c>
      <c r="AK50" s="68">
        <f t="shared" si="22"/>
        <v>3700</v>
      </c>
      <c r="AL50" s="68">
        <f t="shared" si="19"/>
        <v>9</v>
      </c>
      <c r="AM50" s="68">
        <f t="shared" si="20"/>
        <v>1.963</v>
      </c>
    </row>
    <row r="51" spans="36:39" ht="20.25">
      <c r="AJ51" s="68">
        <f t="shared" si="21"/>
        <v>8</v>
      </c>
      <c r="AK51" s="68">
        <f t="shared" si="22"/>
        <v>1354</v>
      </c>
      <c r="AL51" s="68">
        <f t="shared" si="19"/>
        <v>37</v>
      </c>
      <c r="AM51" s="68">
        <f t="shared" si="20"/>
        <v>7.98646</v>
      </c>
    </row>
    <row r="52" spans="36:39" ht="20.25">
      <c r="AJ52" s="68">
        <f t="shared" si="21"/>
        <v>7</v>
      </c>
      <c r="AK52" s="68">
        <f t="shared" si="22"/>
        <v>1498</v>
      </c>
      <c r="AL52" s="68">
        <f t="shared" si="19"/>
        <v>34</v>
      </c>
      <c r="AM52" s="68">
        <f t="shared" si="20"/>
        <v>6.98502</v>
      </c>
    </row>
    <row r="53" spans="36:39" ht="20.25">
      <c r="AJ53" s="68">
        <f t="shared" si="21"/>
        <v>12</v>
      </c>
      <c r="AK53" s="68">
        <f t="shared" si="22"/>
        <v>480</v>
      </c>
      <c r="AL53" s="68">
        <f t="shared" si="19"/>
        <v>59</v>
      </c>
      <c r="AM53" s="68">
        <f t="shared" si="20"/>
        <v>11.9952</v>
      </c>
    </row>
    <row r="54" spans="36:39" ht="20.25">
      <c r="AJ54" s="68">
        <f t="shared" si="21"/>
        <v>4</v>
      </c>
      <c r="AK54" s="68">
        <f t="shared" si="22"/>
        <v>1790</v>
      </c>
      <c r="AL54" s="68">
        <f t="shared" si="19"/>
        <v>20</v>
      </c>
      <c r="AM54" s="68">
        <f t="shared" si="20"/>
        <v>3.9821</v>
      </c>
    </row>
    <row r="55" spans="36:39" ht="20.25">
      <c r="AJ55" s="68">
        <f t="shared" si="21"/>
        <v>5.5</v>
      </c>
      <c r="AK55" s="68">
        <f t="shared" si="22"/>
        <v>1765</v>
      </c>
      <c r="AL55" s="68">
        <f t="shared" si="19"/>
        <v>25</v>
      </c>
      <c r="AM55" s="68">
        <f t="shared" si="20"/>
        <v>5.48235</v>
      </c>
    </row>
    <row r="56" spans="36:39" ht="20.25">
      <c r="AJ56" s="68">
        <f t="shared" si="21"/>
        <v>5.5</v>
      </c>
      <c r="AK56" s="68">
        <f t="shared" si="22"/>
        <v>1765</v>
      </c>
      <c r="AL56" s="68">
        <f t="shared" si="19"/>
        <v>25</v>
      </c>
      <c r="AM56" s="68">
        <f t="shared" si="20"/>
        <v>5.48235</v>
      </c>
    </row>
    <row r="57" spans="36:39" ht="20.25">
      <c r="AJ57" s="68">
        <f t="shared" si="21"/>
        <v>3</v>
      </c>
      <c r="AK57" s="68">
        <f t="shared" si="22"/>
        <v>2970</v>
      </c>
      <c r="AL57" s="68">
        <f t="shared" si="19"/>
        <v>13</v>
      </c>
      <c r="AM57" s="68">
        <f t="shared" si="20"/>
        <v>2.9703</v>
      </c>
    </row>
    <row r="58" spans="36:39" ht="20.25">
      <c r="AJ58" s="68">
        <f aca="true" t="shared" si="23" ref="AJ58:AJ69">IF(ISNUMBER(Z10)=TRUE,Z10,"")</f>
        <v>1</v>
      </c>
      <c r="AK58" s="68">
        <f>IF(ISNUMBER(Y10)=TRUE,Y10,0)</f>
        <v>5000</v>
      </c>
      <c r="AL58" s="68">
        <f t="shared" si="19"/>
        <v>1</v>
      </c>
      <c r="AM58" s="68">
        <f t="shared" si="20"/>
        <v>0.95</v>
      </c>
    </row>
    <row r="59" spans="36:39" ht="20.25">
      <c r="AJ59" s="68">
        <f t="shared" si="23"/>
        <v>12</v>
      </c>
      <c r="AK59" s="68">
        <f aca="true" t="shared" si="24" ref="AK59:AK69">IF(ISNUMBER(Y11)=TRUE,Y11,0)</f>
        <v>1045</v>
      </c>
      <c r="AL59" s="68">
        <f t="shared" si="19"/>
        <v>56</v>
      </c>
      <c r="AM59" s="68">
        <f t="shared" si="20"/>
        <v>11.98955</v>
      </c>
    </row>
    <row r="60" spans="36:39" ht="20.25">
      <c r="AJ60" s="68">
        <f t="shared" si="23"/>
        <v>10.5</v>
      </c>
      <c r="AK60" s="68">
        <f t="shared" si="24"/>
        <v>1256</v>
      </c>
      <c r="AL60" s="68">
        <f t="shared" si="19"/>
        <v>48</v>
      </c>
      <c r="AM60" s="68">
        <f t="shared" si="20"/>
        <v>10.48744</v>
      </c>
    </row>
    <row r="61" spans="36:39" ht="20.25">
      <c r="AJ61" s="68">
        <f t="shared" si="23"/>
        <v>10.5</v>
      </c>
      <c r="AK61" s="68">
        <f t="shared" si="24"/>
        <v>1256</v>
      </c>
      <c r="AL61" s="68">
        <f t="shared" si="19"/>
        <v>48</v>
      </c>
      <c r="AM61" s="68">
        <f t="shared" si="20"/>
        <v>10.48744</v>
      </c>
    </row>
    <row r="62" spans="36:39" ht="20.25">
      <c r="AJ62" s="68">
        <f t="shared" si="23"/>
        <v>8.5</v>
      </c>
      <c r="AK62" s="68">
        <f t="shared" si="24"/>
        <v>1325</v>
      </c>
      <c r="AL62" s="68">
        <f t="shared" si="19"/>
        <v>41</v>
      </c>
      <c r="AM62" s="68">
        <f t="shared" si="20"/>
        <v>8.48675</v>
      </c>
    </row>
    <row r="63" spans="36:39" ht="20.25">
      <c r="AJ63" s="68">
        <f t="shared" si="23"/>
        <v>8.5</v>
      </c>
      <c r="AK63" s="68">
        <f t="shared" si="24"/>
        <v>1325</v>
      </c>
      <c r="AL63" s="68">
        <f t="shared" si="19"/>
        <v>41</v>
      </c>
      <c r="AM63" s="68">
        <f t="shared" si="20"/>
        <v>8.48675</v>
      </c>
    </row>
    <row r="64" spans="36:39" ht="20.25">
      <c r="AJ64" s="68">
        <f t="shared" si="23"/>
        <v>7</v>
      </c>
      <c r="AK64" s="68">
        <f t="shared" si="24"/>
        <v>1354</v>
      </c>
      <c r="AL64" s="68">
        <f t="shared" si="19"/>
        <v>35</v>
      </c>
      <c r="AM64" s="68">
        <f t="shared" si="20"/>
        <v>6.98646</v>
      </c>
    </row>
    <row r="65" spans="36:39" ht="20.25">
      <c r="AJ65" s="68">
        <f t="shared" si="23"/>
        <v>6</v>
      </c>
      <c r="AK65" s="68">
        <f t="shared" si="24"/>
        <v>1497</v>
      </c>
      <c r="AL65" s="68">
        <f t="shared" si="19"/>
        <v>29</v>
      </c>
      <c r="AM65" s="68">
        <f t="shared" si="20"/>
        <v>5.98503</v>
      </c>
    </row>
    <row r="66" spans="36:39" ht="20.25">
      <c r="AJ66" s="68">
        <f t="shared" si="23"/>
        <v>5</v>
      </c>
      <c r="AK66" s="68">
        <f t="shared" si="24"/>
        <v>1498</v>
      </c>
      <c r="AL66" s="68">
        <f t="shared" si="19"/>
        <v>24</v>
      </c>
      <c r="AM66" s="68">
        <f t="shared" si="20"/>
        <v>4.98502</v>
      </c>
    </row>
    <row r="67" spans="36:39" ht="20.25">
      <c r="AJ67" s="68">
        <f t="shared" si="23"/>
        <v>3.5</v>
      </c>
      <c r="AK67" s="68">
        <f t="shared" si="24"/>
        <v>1765</v>
      </c>
      <c r="AL67" s="68">
        <f t="shared" si="19"/>
        <v>15</v>
      </c>
      <c r="AM67" s="68">
        <f t="shared" si="20"/>
        <v>3.48235</v>
      </c>
    </row>
    <row r="68" spans="36:39" ht="20.25">
      <c r="AJ68" s="68">
        <f t="shared" si="23"/>
        <v>3.5</v>
      </c>
      <c r="AK68" s="68">
        <f t="shared" si="24"/>
        <v>1765</v>
      </c>
      <c r="AL68" s="68">
        <f t="shared" si="19"/>
        <v>15</v>
      </c>
      <c r="AM68" s="68">
        <f t="shared" si="20"/>
        <v>3.48235</v>
      </c>
    </row>
    <row r="69" spans="36:39" ht="20.25">
      <c r="AJ69" s="68">
        <f t="shared" si="23"/>
        <v>2</v>
      </c>
      <c r="AK69" s="68">
        <f t="shared" si="24"/>
        <v>3800</v>
      </c>
      <c r="AL69" s="68">
        <f t="shared" si="19"/>
        <v>8</v>
      </c>
      <c r="AM69" s="68">
        <f t="shared" si="20"/>
        <v>1.962</v>
      </c>
    </row>
    <row r="70" spans="36:39" ht="20.25">
      <c r="AJ70" s="68">
        <f>IF(ISNUMBER(#REF!)=TRUE,#REF!,"")</f>
      </c>
      <c r="AK70" s="68">
        <f>IF(ISNUMBER(#REF!)=TRUE,#REF!,"")</f>
      </c>
      <c r="AL70" s="68">
        <f aca="true" t="shared" si="25" ref="AL70:AL92">IF(ISNUMBER(AM70)=TRUE,RANK(AM70,$AM$10:$AM$92,1),"")</f>
      </c>
      <c r="AM70" s="68">
        <f t="shared" si="20"/>
      </c>
    </row>
    <row r="71" spans="36:39" ht="20.25">
      <c r="AJ71" s="68">
        <f>IF(ISNUMBER(#REF!)=TRUE,#REF!,"")</f>
      </c>
      <c r="AK71" s="68">
        <f>IF(ISNUMBER(#REF!)=TRUE,#REF!,"")</f>
      </c>
      <c r="AL71" s="68">
        <f t="shared" si="25"/>
      </c>
      <c r="AM71" s="68">
        <f t="shared" si="20"/>
      </c>
    </row>
    <row r="72" spans="36:39" ht="20.25">
      <c r="AJ72" s="68">
        <f>IF(ISNUMBER(#REF!)=TRUE,#REF!,"")</f>
      </c>
      <c r="AK72" s="68">
        <f>IF(ISNUMBER(#REF!)=TRUE,#REF!,"")</f>
      </c>
      <c r="AL72" s="68">
        <f t="shared" si="25"/>
      </c>
      <c r="AM72" s="68">
        <f t="shared" si="20"/>
      </c>
    </row>
    <row r="73" spans="36:39" ht="20.25">
      <c r="AJ73" s="68">
        <f>IF(ISNUMBER(#REF!)=TRUE,#REF!,"")</f>
      </c>
      <c r="AK73" s="68">
        <f>IF(ISNUMBER(#REF!)=TRUE,#REF!,"")</f>
      </c>
      <c r="AL73" s="68">
        <f t="shared" si="25"/>
      </c>
      <c r="AM73" s="68">
        <f t="shared" si="20"/>
      </c>
    </row>
    <row r="74" spans="36:39" ht="20.25">
      <c r="AJ74" s="68">
        <f>IF(ISNUMBER(#REF!)=TRUE,#REF!,"")</f>
      </c>
      <c r="AK74" s="68">
        <f>IF(ISNUMBER(#REF!)=TRUE,#REF!,"")</f>
      </c>
      <c r="AL74" s="68">
        <f t="shared" si="25"/>
      </c>
      <c r="AM74" s="68">
        <f aca="true" t="shared" si="26" ref="AM74:AM92">IF(ISNUMBER(AJ74)=TRUE,AJ74-AK74/100000,"")</f>
      </c>
    </row>
    <row r="75" spans="36:39" ht="20.25">
      <c r="AJ75" s="68">
        <f>IF(ISNUMBER(#REF!)=TRUE,#REF!,"")</f>
      </c>
      <c r="AK75" s="68">
        <f>IF(ISNUMBER(#REF!)=TRUE,#REF!,"")</f>
      </c>
      <c r="AL75" s="68">
        <f t="shared" si="25"/>
      </c>
      <c r="AM75" s="68">
        <f t="shared" si="26"/>
      </c>
    </row>
    <row r="76" spans="36:39" ht="20.25">
      <c r="AJ76" s="68">
        <f>IF(ISNUMBER(#REF!)=TRUE,#REF!,"")</f>
      </c>
      <c r="AK76" s="68">
        <f>IF(ISNUMBER(#REF!)=TRUE,#REF!,"")</f>
      </c>
      <c r="AL76" s="68">
        <f t="shared" si="25"/>
      </c>
      <c r="AM76" s="68">
        <f t="shared" si="26"/>
      </c>
    </row>
    <row r="77" spans="36:39" ht="20.25">
      <c r="AJ77" s="68">
        <f>IF(ISNUMBER(#REF!)=TRUE,#REF!,"")</f>
      </c>
      <c r="AK77" s="68">
        <f>IF(ISNUMBER(#REF!)=TRUE,#REF!,"")</f>
      </c>
      <c r="AL77" s="68">
        <f t="shared" si="25"/>
      </c>
      <c r="AM77" s="68">
        <f t="shared" si="26"/>
      </c>
    </row>
    <row r="78" spans="36:39" ht="20.25">
      <c r="AJ78" s="68">
        <f>IF(ISNUMBER(#REF!)=TRUE,#REF!,"")</f>
      </c>
      <c r="AK78" s="68">
        <f>IF(ISNUMBER(#REF!)=TRUE,#REF!,"")</f>
      </c>
      <c r="AL78" s="68">
        <f t="shared" si="25"/>
      </c>
      <c r="AM78" s="68">
        <f t="shared" si="26"/>
      </c>
    </row>
    <row r="79" spans="36:39" ht="20.25">
      <c r="AJ79" s="68">
        <f>IF(ISNUMBER(#REF!)=TRUE,#REF!,"")</f>
      </c>
      <c r="AK79" s="68">
        <f>IF(ISNUMBER(#REF!)=TRUE,#REF!,"")</f>
      </c>
      <c r="AL79" s="68">
        <f t="shared" si="25"/>
      </c>
      <c r="AM79" s="68">
        <f t="shared" si="26"/>
      </c>
    </row>
    <row r="80" spans="36:39" ht="20.25">
      <c r="AJ80" s="68">
        <f>IF(ISNUMBER(#REF!)=TRUE,#REF!,"")</f>
      </c>
      <c r="AK80" s="68">
        <f>IF(ISNUMBER(#REF!)=TRUE,#REF!,"")</f>
      </c>
      <c r="AL80" s="68">
        <f t="shared" si="25"/>
      </c>
      <c r="AM80" s="68">
        <f t="shared" si="26"/>
      </c>
    </row>
    <row r="81" spans="36:39" ht="20.25">
      <c r="AJ81" s="68">
        <f>IF(ISNUMBER(#REF!)=TRUE,#REF!,"")</f>
      </c>
      <c r="AK81" s="68">
        <f>IF(ISNUMBER(#REF!)=TRUE,#REF!,"")</f>
      </c>
      <c r="AL81" s="68">
        <f t="shared" si="25"/>
      </c>
      <c r="AM81" s="68">
        <f t="shared" si="26"/>
      </c>
    </row>
    <row r="82" spans="36:39" ht="20.25">
      <c r="AJ82" s="68">
        <f>IF(ISNUMBER(#REF!)=TRUE,#REF!,"")</f>
      </c>
      <c r="AK82" s="68">
        <f>IF(ISNUMBER(#REF!)=TRUE,#REF!,"")</f>
      </c>
      <c r="AL82" s="68">
        <f t="shared" si="25"/>
      </c>
      <c r="AM82" s="68">
        <f t="shared" si="26"/>
      </c>
    </row>
    <row r="83" spans="36:39" ht="20.25">
      <c r="AJ83" s="68">
        <f>IF(ISNUMBER(#REF!)=TRUE,#REF!,"")</f>
      </c>
      <c r="AK83" s="68">
        <f>IF(ISNUMBER(#REF!)=TRUE,#REF!,"")</f>
      </c>
      <c r="AL83" s="68">
        <f t="shared" si="25"/>
      </c>
      <c r="AM83" s="68">
        <f t="shared" si="26"/>
      </c>
    </row>
    <row r="84" spans="36:39" ht="20.25">
      <c r="AJ84" s="68">
        <f>IF(ISNUMBER(#REF!)=TRUE,#REF!,"")</f>
      </c>
      <c r="AK84" s="68">
        <f>IF(ISNUMBER(#REF!)=TRUE,#REF!,"")</f>
      </c>
      <c r="AL84" s="68">
        <f t="shared" si="25"/>
      </c>
      <c r="AM84" s="68">
        <f t="shared" si="26"/>
      </c>
    </row>
    <row r="85" spans="36:39" ht="20.25">
      <c r="AJ85" s="68">
        <f>IF(ISNUMBER(#REF!)=TRUE,#REF!,"")</f>
      </c>
      <c r="AK85" s="68">
        <f>IF(ISNUMBER(#REF!)=TRUE,#REF!,"")</f>
      </c>
      <c r="AL85" s="68">
        <f t="shared" si="25"/>
      </c>
      <c r="AM85" s="68">
        <f t="shared" si="26"/>
      </c>
    </row>
    <row r="86" spans="36:39" ht="20.25">
      <c r="AJ86" s="68">
        <f>IF(ISNUMBER(#REF!)=TRUE,#REF!,"")</f>
      </c>
      <c r="AK86" s="68">
        <f>IF(ISNUMBER(#REF!)=TRUE,#REF!,"")</f>
      </c>
      <c r="AL86" s="68">
        <f t="shared" si="25"/>
      </c>
      <c r="AM86" s="68">
        <f t="shared" si="26"/>
      </c>
    </row>
    <row r="87" spans="36:39" ht="20.25">
      <c r="AJ87" s="68">
        <f>IF(ISNUMBER(#REF!)=TRUE,#REF!,"")</f>
      </c>
      <c r="AK87" s="68">
        <f>IF(ISNUMBER(#REF!)=TRUE,#REF!,"")</f>
      </c>
      <c r="AL87" s="68">
        <f t="shared" si="25"/>
      </c>
      <c r="AM87" s="68">
        <f t="shared" si="26"/>
      </c>
    </row>
    <row r="88" spans="36:39" ht="20.25">
      <c r="AJ88" s="68">
        <f>IF(ISNUMBER(#REF!)=TRUE,#REF!,"")</f>
      </c>
      <c r="AK88" s="68">
        <f>IF(ISNUMBER(#REF!)=TRUE,#REF!,"")</f>
      </c>
      <c r="AL88" s="68">
        <f t="shared" si="25"/>
      </c>
      <c r="AM88" s="68">
        <f t="shared" si="26"/>
      </c>
    </row>
    <row r="89" spans="36:39" ht="20.25">
      <c r="AJ89" s="68">
        <f>IF(ISNUMBER(#REF!)=TRUE,#REF!,"")</f>
      </c>
      <c r="AK89" s="68">
        <f>IF(ISNUMBER(#REF!)=TRUE,#REF!,"")</f>
      </c>
      <c r="AL89" s="68">
        <f t="shared" si="25"/>
      </c>
      <c r="AM89" s="68">
        <f t="shared" si="26"/>
      </c>
    </row>
    <row r="90" spans="36:39" ht="20.25">
      <c r="AJ90" s="68">
        <f>IF(ISNUMBER(#REF!)=TRUE,#REF!,"")</f>
      </c>
      <c r="AK90" s="68">
        <f>IF(ISNUMBER(#REF!)=TRUE,#REF!,"")</f>
      </c>
      <c r="AL90" s="68">
        <f t="shared" si="25"/>
      </c>
      <c r="AM90" s="68">
        <f t="shared" si="26"/>
      </c>
    </row>
    <row r="91" spans="36:39" ht="20.25">
      <c r="AJ91" s="68">
        <f>IF(ISNUMBER(#REF!)=TRUE,#REF!,"")</f>
      </c>
      <c r="AK91" s="68">
        <f>IF(ISNUMBER(#REF!)=TRUE,#REF!,"")</f>
      </c>
      <c r="AL91" s="68">
        <f t="shared" si="25"/>
      </c>
      <c r="AM91" s="68">
        <f t="shared" si="26"/>
      </c>
    </row>
    <row r="92" spans="36:39" ht="20.25">
      <c r="AJ92" s="68">
        <f>IF(ISNUMBER(#REF!)=TRUE,#REF!,"")</f>
      </c>
      <c r="AK92" s="68">
        <f>IF(ISNUMBER(#REF!)=TRUE,#REF!,"")</f>
      </c>
      <c r="AL92" s="68">
        <f t="shared" si="25"/>
      </c>
      <c r="AM92" s="68">
        <f t="shared" si="26"/>
      </c>
    </row>
  </sheetData>
  <sheetProtection password="C7E2" sheet="1" objects="1" scenarios="1"/>
  <mergeCells count="10">
    <mergeCell ref="A8:A9"/>
    <mergeCell ref="B8:B9"/>
    <mergeCell ref="C8:G8"/>
    <mergeCell ref="H8:L8"/>
    <mergeCell ref="AC8:AC9"/>
    <mergeCell ref="AD8:AD9"/>
    <mergeCell ref="M8:Q8"/>
    <mergeCell ref="R8:V8"/>
    <mergeCell ref="W8:AA8"/>
    <mergeCell ref="AB8:AB9"/>
  </mergeCells>
  <printOptions horizontalCentered="1"/>
  <pageMargins left="0.3937007874015748" right="0.5118110236220472" top="0.7874015748031497" bottom="0.2755905511811024" header="3.23" footer="0.3937007874015748"/>
  <pageSetup horizontalDpi="300" verticalDpi="300" orientation="landscape" paperSize="9" scale="43" r:id="rId4"/>
  <headerFooter alignWithMargins="0">
    <oddHeader>&amp;C&amp;G</oddHeader>
    <oddFooter>&amp;C&amp;"Arial,Kurziv"&amp;16&amp;YProgram za izračun rezultata i provođenje natjecanja&amp;R&amp;18&amp;D  &amp;T h</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1">
    <tabColor indexed="10"/>
    <outlinePr summaryBelow="0"/>
  </sheetPr>
  <dimension ref="A1:AI37"/>
  <sheetViews>
    <sheetView showRowColHeaders="0" zoomScalePageLayoutView="0" workbookViewId="0" topLeftCell="A1">
      <selection activeCell="J29" sqref="J29"/>
    </sheetView>
  </sheetViews>
  <sheetFormatPr defaultColWidth="9.140625" defaultRowHeight="12.75"/>
  <cols>
    <col min="1" max="1" width="10.28125" style="439" customWidth="1"/>
    <col min="2" max="2" width="8.57421875" style="441" customWidth="1"/>
    <col min="3" max="3" width="18.57421875" style="441" customWidth="1"/>
    <col min="4" max="4" width="14.28125" style="441" customWidth="1"/>
    <col min="5" max="5" width="6.00390625" style="447" customWidth="1"/>
    <col min="6" max="6" width="6.00390625" style="441" hidden="1" customWidth="1"/>
    <col min="7" max="7" width="14.28125" style="441" customWidth="1"/>
    <col min="8" max="8" width="6.00390625" style="447" customWidth="1"/>
    <col min="9" max="9" width="6.00390625" style="441" hidden="1" customWidth="1"/>
    <col min="10" max="10" width="14.28125" style="441" customWidth="1"/>
    <col min="11" max="11" width="6.00390625" style="447" customWidth="1"/>
    <col min="12" max="12" width="6.00390625" style="441" hidden="1" customWidth="1"/>
    <col min="13" max="13" width="14.28125" style="441" customWidth="1"/>
    <col min="14" max="14" width="6.00390625" style="441" customWidth="1"/>
    <col min="15" max="15" width="6.00390625" style="441" hidden="1" customWidth="1"/>
    <col min="16" max="16" width="14.28125" style="441" customWidth="1"/>
    <col min="17" max="17" width="6.00390625" style="441" customWidth="1"/>
    <col min="18" max="18" width="6.00390625" style="441" hidden="1" customWidth="1"/>
    <col min="19" max="19" width="14.28125" style="441" customWidth="1"/>
    <col min="20" max="23" width="5.00390625" style="441" hidden="1" customWidth="1"/>
    <col min="24" max="24" width="4.8515625" style="441" hidden="1" customWidth="1"/>
    <col min="25" max="25" width="6.140625" style="444" customWidth="1"/>
    <col min="26" max="26" width="4.57421875" style="441" customWidth="1"/>
    <col min="27" max="16384" width="9.140625" style="441" customWidth="1"/>
  </cols>
  <sheetData>
    <row r="1" spans="1:35" s="438" customFormat="1" ht="21.75" customHeight="1">
      <c r="A1" s="141" t="s">
        <v>19</v>
      </c>
      <c r="B1" s="141" t="s">
        <v>20</v>
      </c>
      <c r="C1" s="141" t="s">
        <v>21</v>
      </c>
      <c r="D1" s="141" t="s">
        <v>22</v>
      </c>
      <c r="E1" s="141" t="s">
        <v>24</v>
      </c>
      <c r="F1" s="176" t="s">
        <v>23</v>
      </c>
      <c r="G1" s="141" t="s">
        <v>22</v>
      </c>
      <c r="H1" s="141" t="s">
        <v>24</v>
      </c>
      <c r="I1" s="176" t="s">
        <v>23</v>
      </c>
      <c r="J1" s="141" t="s">
        <v>22</v>
      </c>
      <c r="K1" s="141" t="s">
        <v>24</v>
      </c>
      <c r="L1" s="176" t="s">
        <v>23</v>
      </c>
      <c r="M1" s="141" t="s">
        <v>22</v>
      </c>
      <c r="N1" s="141" t="s">
        <v>24</v>
      </c>
      <c r="O1" s="176" t="s">
        <v>23</v>
      </c>
      <c r="P1" s="141" t="s">
        <v>22</v>
      </c>
      <c r="Q1" s="141" t="s">
        <v>24</v>
      </c>
      <c r="R1" s="176" t="s">
        <v>23</v>
      </c>
      <c r="S1" s="175" t="s">
        <v>57</v>
      </c>
      <c r="T1" s="448" t="s">
        <v>30</v>
      </c>
      <c r="U1" s="448" t="s">
        <v>28</v>
      </c>
      <c r="V1" s="448" t="s">
        <v>26</v>
      </c>
      <c r="W1" s="448" t="s">
        <v>33</v>
      </c>
      <c r="X1" s="448" t="s">
        <v>32</v>
      </c>
      <c r="Y1" s="232">
        <f>IF(ISTEXT(C2)=TRUE,COUNTA($C$2:$C$13),"")</f>
        <v>12</v>
      </c>
      <c r="Z1" s="194"/>
      <c r="AA1" s="437"/>
      <c r="AB1" s="437"/>
      <c r="AC1" s="437"/>
      <c r="AD1" s="437"/>
      <c r="AE1" s="437"/>
      <c r="AF1" s="437"/>
      <c r="AG1" s="437"/>
      <c r="AH1" s="437"/>
      <c r="AI1" s="437"/>
    </row>
    <row r="2" spans="1:35" ht="12.75">
      <c r="A2" s="412">
        <v>1</v>
      </c>
      <c r="B2" s="411">
        <v>3</v>
      </c>
      <c r="C2" s="76" t="s">
        <v>195</v>
      </c>
      <c r="D2" s="76" t="s">
        <v>196</v>
      </c>
      <c r="E2" s="412" t="s">
        <v>28</v>
      </c>
      <c r="F2" s="412"/>
      <c r="G2" s="76" t="s">
        <v>197</v>
      </c>
      <c r="H2" s="412" t="s">
        <v>33</v>
      </c>
      <c r="I2" s="412"/>
      <c r="J2" s="76" t="s">
        <v>134</v>
      </c>
      <c r="K2" s="412" t="s">
        <v>30</v>
      </c>
      <c r="L2" s="412"/>
      <c r="M2" s="74" t="s">
        <v>133</v>
      </c>
      <c r="N2" s="412" t="s">
        <v>32</v>
      </c>
      <c r="O2" s="412"/>
      <c r="P2" s="76" t="s">
        <v>198</v>
      </c>
      <c r="Q2" s="412" t="s">
        <v>26</v>
      </c>
      <c r="R2" s="412"/>
      <c r="S2" s="76" t="s">
        <v>197</v>
      </c>
      <c r="T2" s="413">
        <f aca="true" t="shared" si="0" ref="T2:T13">IF(AND(ISNUMBER(F2)=FALSE,ISNUMBER(I2)=FALSE,ISNUMBER(L2)=FALSE,ISNUMBER(O2)=FALSE,ISNUMBER(R2)=FALSE),"",IF(COUNTIF(E2,"A")=1,F2,IF(COUNTIF(H2,"A")=1,I2,IF(COUNTIF(K2,"A")=1,L2,IF(COUNTIF(N2,"A")=1,O2,IF(COUNTIF(Q2,"A")=1,R2,""))))))</f>
      </c>
      <c r="U2" s="413">
        <f aca="true" t="shared" si="1" ref="U2:U13">IF(AND(ISNUMBER(F2)=FALSE,ISNUMBER(I2)=FALSE,ISNUMBER(L2)=FALSE,ISNUMBER(O2)=FALSE,ISNUMBER(R2)=FALSE),"",IF(COUNTIF(E2,"B")=1,F2,IF(COUNTIF(H2,"B")=1,I2,IF(COUNTIF(K2,"B")=1,L2,IF(COUNTIF(N2,"B")=1,O2,IF(COUNTIF(Q2,"B")=1,R2,""))))))</f>
      </c>
      <c r="V2" s="413">
        <f aca="true" t="shared" si="2" ref="V2:V13">IF(AND(ISNUMBER(F2)=FALSE,ISNUMBER(I2)=FALSE,ISNUMBER(L2)=FALSE,ISNUMBER(O2)=FALSE,ISNUMBER(R2)=FALSE),"",IF(COUNTIF(E2,"C")=1,F2,IF(COUNTIF(H2,"C")=1,I2,IF(COUNTIF(K2,"C")=1,L2,IF(COUNTIF(N2,"C")=1,O2,IF(COUNTIF(Q2,"C")=1,R2,""))))))</f>
      </c>
      <c r="W2" s="413">
        <f aca="true" t="shared" si="3" ref="W2:W13">IF(AND(ISNUMBER(F2)=FALSE,ISNUMBER(I2)=FALSE,ISNUMBER(L2)=FALSE,ISNUMBER(O2)=FALSE,ISNUMBER(R2)=FALSE),"",IF(COUNTIF(E2,"D")=1,F2,IF(COUNTIF(H2,"D")=1,I2,IF(COUNTIF(K2,"D")=1,L2,IF(COUNTIF(N2,"D")=1,O2,IF(COUNTIF(Q2,"D")=1,R2,""))))))</f>
      </c>
      <c r="X2" s="413">
        <f aca="true" t="shared" si="4" ref="X2:X13">IF(AND(ISNUMBER(F2)=FALSE,ISNUMBER(I2)=FALSE,ISNUMBER(L2)=FALSE,ISNUMBER(O2)=FALSE,ISNUMBER(R2)=FALSE),"",IF(COUNTIF(E2,"E")=1,F2,IF(COUNTIF(H2,"E")=1,I2,IF(COUNTIF(K2,"E")=1,L2,IF(COUNTIF(N2,"E")=1,O2,IF(COUNTIF(Q2,"E")=1,R2,""))))))</f>
      </c>
      <c r="Y2" s="414">
        <f aca="true" t="shared" si="5" ref="Y2:Y13">IF(OR(COUNTIF(E2:Q2,"A")&gt;1,COUNTIF(E2:Q2,"B")&gt;1,COUNTIF(E2:Q2,"C")&gt;1,COUNTIF(E2:Q2,"D")&gt;1,COUNTIF(E2:Q2,"E")&gt;1),"ISTI SEKTOR !",IF(COUNTIF($B$2:$B$13,B2)=2,"ISTI REDOSLJED ! ",IF(COUNTIF($A$2:$A$13,A2)=2,"ISTI STARTNI BROJ ! ","")))</f>
      </c>
      <c r="Z2" s="76"/>
      <c r="AA2" s="442"/>
      <c r="AB2" s="442"/>
      <c r="AC2" s="442"/>
      <c r="AD2" s="442"/>
      <c r="AE2" s="442"/>
      <c r="AF2" s="442"/>
      <c r="AG2" s="442"/>
      <c r="AH2" s="442"/>
      <c r="AI2" s="442"/>
    </row>
    <row r="3" spans="1:35" ht="12.75">
      <c r="A3" s="412">
        <v>2</v>
      </c>
      <c r="B3" s="411">
        <v>7</v>
      </c>
      <c r="C3" s="76" t="s">
        <v>36</v>
      </c>
      <c r="D3" s="76" t="s">
        <v>38</v>
      </c>
      <c r="E3" s="412" t="s">
        <v>28</v>
      </c>
      <c r="F3" s="412"/>
      <c r="G3" s="76" t="s">
        <v>167</v>
      </c>
      <c r="H3" s="412" t="s">
        <v>26</v>
      </c>
      <c r="I3" s="412"/>
      <c r="J3" s="76" t="s">
        <v>138</v>
      </c>
      <c r="K3" s="412" t="s">
        <v>33</v>
      </c>
      <c r="L3" s="412"/>
      <c r="M3" s="76" t="s">
        <v>168</v>
      </c>
      <c r="N3" s="412" t="s">
        <v>32</v>
      </c>
      <c r="O3" s="412"/>
      <c r="P3" s="76" t="s">
        <v>37</v>
      </c>
      <c r="Q3" s="412" t="s">
        <v>30</v>
      </c>
      <c r="R3" s="412"/>
      <c r="S3" s="76" t="s">
        <v>169</v>
      </c>
      <c r="T3" s="413">
        <f t="shared" si="0"/>
      </c>
      <c r="U3" s="413">
        <f t="shared" si="1"/>
      </c>
      <c r="V3" s="413">
        <f t="shared" si="2"/>
      </c>
      <c r="W3" s="413">
        <f t="shared" si="3"/>
      </c>
      <c r="X3" s="413">
        <f t="shared" si="4"/>
      </c>
      <c r="Y3" s="414">
        <f t="shared" si="5"/>
      </c>
      <c r="Z3" s="76"/>
      <c r="AA3" s="442"/>
      <c r="AB3" s="442"/>
      <c r="AC3" s="442"/>
      <c r="AD3" s="442"/>
      <c r="AE3" s="442"/>
      <c r="AF3" s="442"/>
      <c r="AG3" s="442"/>
      <c r="AH3" s="442"/>
      <c r="AI3" s="442"/>
    </row>
    <row r="4" spans="1:35" ht="12.75">
      <c r="A4" s="412">
        <v>3</v>
      </c>
      <c r="B4" s="411">
        <v>9</v>
      </c>
      <c r="C4" s="76" t="s">
        <v>151</v>
      </c>
      <c r="D4" s="76" t="s">
        <v>170</v>
      </c>
      <c r="E4" s="412" t="s">
        <v>30</v>
      </c>
      <c r="F4" s="412"/>
      <c r="G4" s="76" t="s">
        <v>171</v>
      </c>
      <c r="H4" s="412" t="s">
        <v>26</v>
      </c>
      <c r="I4" s="412"/>
      <c r="J4" s="76" t="s">
        <v>172</v>
      </c>
      <c r="K4" s="412" t="s">
        <v>28</v>
      </c>
      <c r="L4" s="412"/>
      <c r="M4" s="76" t="s">
        <v>173</v>
      </c>
      <c r="N4" s="412" t="s">
        <v>32</v>
      </c>
      <c r="O4" s="412"/>
      <c r="P4" s="76" t="s">
        <v>174</v>
      </c>
      <c r="Q4" s="412" t="s">
        <v>33</v>
      </c>
      <c r="R4" s="412"/>
      <c r="S4" s="76" t="s">
        <v>172</v>
      </c>
      <c r="T4" s="413">
        <f t="shared" si="0"/>
      </c>
      <c r="U4" s="413">
        <f t="shared" si="1"/>
      </c>
      <c r="V4" s="413">
        <f t="shared" si="2"/>
      </c>
      <c r="W4" s="413">
        <f t="shared" si="3"/>
      </c>
      <c r="X4" s="413">
        <f t="shared" si="4"/>
      </c>
      <c r="Y4" s="414">
        <f t="shared" si="5"/>
      </c>
      <c r="Z4" s="76"/>
      <c r="AA4" s="442"/>
      <c r="AB4" s="442"/>
      <c r="AC4" s="442"/>
      <c r="AD4" s="442"/>
      <c r="AE4" s="442"/>
      <c r="AF4" s="442"/>
      <c r="AG4" s="442"/>
      <c r="AH4" s="442"/>
      <c r="AI4" s="442"/>
    </row>
    <row r="5" spans="1:35" ht="12.75">
      <c r="A5" s="412">
        <v>4</v>
      </c>
      <c r="B5" s="411">
        <v>11</v>
      </c>
      <c r="C5" s="76" t="s">
        <v>129</v>
      </c>
      <c r="D5" s="74" t="s">
        <v>149</v>
      </c>
      <c r="E5" s="75" t="s">
        <v>32</v>
      </c>
      <c r="F5" s="75"/>
      <c r="G5" s="74" t="s">
        <v>132</v>
      </c>
      <c r="H5" s="75" t="s">
        <v>30</v>
      </c>
      <c r="I5" s="75"/>
      <c r="J5" s="74" t="s">
        <v>175</v>
      </c>
      <c r="K5" s="412" t="s">
        <v>26</v>
      </c>
      <c r="L5" s="75"/>
      <c r="M5" s="76" t="s">
        <v>131</v>
      </c>
      <c r="N5" s="75" t="s">
        <v>33</v>
      </c>
      <c r="O5" s="75"/>
      <c r="P5" s="76" t="s">
        <v>176</v>
      </c>
      <c r="Q5" s="412" t="s">
        <v>28</v>
      </c>
      <c r="R5" s="75"/>
      <c r="S5" s="76" t="s">
        <v>149</v>
      </c>
      <c r="T5" s="413">
        <f t="shared" si="0"/>
      </c>
      <c r="U5" s="413">
        <f t="shared" si="1"/>
      </c>
      <c r="V5" s="413">
        <f t="shared" si="2"/>
      </c>
      <c r="W5" s="413">
        <f t="shared" si="3"/>
      </c>
      <c r="X5" s="413">
        <f t="shared" si="4"/>
      </c>
      <c r="Y5" s="414">
        <f t="shared" si="5"/>
      </c>
      <c r="Z5" s="76"/>
      <c r="AA5" s="442"/>
      <c r="AB5" s="442"/>
      <c r="AC5" s="442"/>
      <c r="AD5" s="442"/>
      <c r="AE5" s="442"/>
      <c r="AF5" s="442"/>
      <c r="AG5" s="442"/>
      <c r="AH5" s="442"/>
      <c r="AI5" s="442"/>
    </row>
    <row r="6" spans="1:35" ht="12.75">
      <c r="A6" s="412">
        <v>5</v>
      </c>
      <c r="B6" s="411">
        <v>10</v>
      </c>
      <c r="C6" s="76" t="s">
        <v>152</v>
      </c>
      <c r="D6" s="74" t="s">
        <v>177</v>
      </c>
      <c r="E6" s="75" t="s">
        <v>30</v>
      </c>
      <c r="F6" s="75"/>
      <c r="G6" s="74" t="s">
        <v>178</v>
      </c>
      <c r="H6" s="75" t="s">
        <v>32</v>
      </c>
      <c r="I6" s="75"/>
      <c r="J6" s="74" t="s">
        <v>179</v>
      </c>
      <c r="K6" s="412" t="s">
        <v>28</v>
      </c>
      <c r="L6" s="75"/>
      <c r="M6" s="76" t="s">
        <v>180</v>
      </c>
      <c r="N6" s="75" t="s">
        <v>26</v>
      </c>
      <c r="O6" s="75"/>
      <c r="P6" s="76" t="s">
        <v>181</v>
      </c>
      <c r="Q6" s="412" t="s">
        <v>33</v>
      </c>
      <c r="R6" s="75"/>
      <c r="S6" s="76" t="s">
        <v>181</v>
      </c>
      <c r="T6" s="413">
        <f t="shared" si="0"/>
      </c>
      <c r="U6" s="413">
        <f t="shared" si="1"/>
      </c>
      <c r="V6" s="413">
        <f t="shared" si="2"/>
      </c>
      <c r="W6" s="413">
        <f t="shared" si="3"/>
      </c>
      <c r="X6" s="413">
        <f t="shared" si="4"/>
      </c>
      <c r="Y6" s="414">
        <f t="shared" si="5"/>
      </c>
      <c r="Z6" s="76"/>
      <c r="AA6" s="442"/>
      <c r="AB6" s="442"/>
      <c r="AC6" s="442"/>
      <c r="AD6" s="442"/>
      <c r="AE6" s="442"/>
      <c r="AF6" s="442"/>
      <c r="AG6" s="442"/>
      <c r="AH6" s="442"/>
      <c r="AI6" s="442"/>
    </row>
    <row r="7" spans="1:35" ht="12.75">
      <c r="A7" s="412">
        <v>6</v>
      </c>
      <c r="B7" s="411">
        <v>4</v>
      </c>
      <c r="C7" s="76" t="s">
        <v>139</v>
      </c>
      <c r="D7" s="76" t="s">
        <v>182</v>
      </c>
      <c r="E7" s="412" t="s">
        <v>33</v>
      </c>
      <c r="F7" s="412"/>
      <c r="G7" s="76" t="s">
        <v>183</v>
      </c>
      <c r="H7" s="412" t="s">
        <v>32</v>
      </c>
      <c r="I7" s="412"/>
      <c r="J7" s="76" t="s">
        <v>184</v>
      </c>
      <c r="K7" s="412" t="s">
        <v>28</v>
      </c>
      <c r="L7" s="412"/>
      <c r="M7" s="76" t="s">
        <v>185</v>
      </c>
      <c r="N7" s="412" t="s">
        <v>30</v>
      </c>
      <c r="O7" s="412"/>
      <c r="P7" s="74" t="s">
        <v>186</v>
      </c>
      <c r="Q7" s="412" t="s">
        <v>26</v>
      </c>
      <c r="R7" s="412"/>
      <c r="S7" s="76" t="s">
        <v>187</v>
      </c>
      <c r="T7" s="413">
        <f t="shared" si="0"/>
      </c>
      <c r="U7" s="413">
        <f t="shared" si="1"/>
      </c>
      <c r="V7" s="413">
        <f t="shared" si="2"/>
      </c>
      <c r="W7" s="413">
        <f t="shared" si="3"/>
      </c>
      <c r="X7" s="413">
        <f t="shared" si="4"/>
      </c>
      <c r="Y7" s="414">
        <f t="shared" si="5"/>
      </c>
      <c r="Z7" s="76"/>
      <c r="AA7" s="442"/>
      <c r="AB7" s="442"/>
      <c r="AC7" s="442"/>
      <c r="AD7" s="442"/>
      <c r="AE7" s="442"/>
      <c r="AF7" s="442"/>
      <c r="AG7" s="442"/>
      <c r="AH7" s="442"/>
      <c r="AI7" s="442"/>
    </row>
    <row r="8" spans="1:35" ht="12.75">
      <c r="A8" s="412">
        <v>7</v>
      </c>
      <c r="B8" s="411">
        <v>2</v>
      </c>
      <c r="C8" s="76" t="s">
        <v>199</v>
      </c>
      <c r="D8" s="74" t="s">
        <v>130</v>
      </c>
      <c r="E8" s="75" t="s">
        <v>30</v>
      </c>
      <c r="F8" s="75"/>
      <c r="G8" s="74" t="s">
        <v>200</v>
      </c>
      <c r="H8" s="75" t="s">
        <v>32</v>
      </c>
      <c r="I8" s="75"/>
      <c r="J8" s="74" t="s">
        <v>201</v>
      </c>
      <c r="K8" s="412" t="s">
        <v>28</v>
      </c>
      <c r="L8" s="75"/>
      <c r="M8" s="76" t="s">
        <v>135</v>
      </c>
      <c r="N8" s="75" t="s">
        <v>33</v>
      </c>
      <c r="O8" s="75"/>
      <c r="P8" s="74" t="s">
        <v>202</v>
      </c>
      <c r="Q8" s="412" t="s">
        <v>26</v>
      </c>
      <c r="R8" s="75"/>
      <c r="S8" s="74" t="s">
        <v>130</v>
      </c>
      <c r="T8" s="413">
        <f t="shared" si="0"/>
      </c>
      <c r="U8" s="413">
        <f t="shared" si="1"/>
      </c>
      <c r="V8" s="413">
        <f t="shared" si="2"/>
      </c>
      <c r="W8" s="413">
        <f t="shared" si="3"/>
      </c>
      <c r="X8" s="413">
        <f t="shared" si="4"/>
      </c>
      <c r="Y8" s="414">
        <f t="shared" si="5"/>
      </c>
      <c r="Z8" s="76"/>
      <c r="AA8" s="442"/>
      <c r="AB8" s="442"/>
      <c r="AC8" s="442"/>
      <c r="AD8" s="442"/>
      <c r="AE8" s="442"/>
      <c r="AF8" s="442"/>
      <c r="AG8" s="442"/>
      <c r="AH8" s="442"/>
      <c r="AI8" s="442"/>
    </row>
    <row r="9" spans="1:35" ht="12.75">
      <c r="A9" s="412">
        <v>8</v>
      </c>
      <c r="B9" s="411">
        <v>6</v>
      </c>
      <c r="C9" s="76" t="s">
        <v>188</v>
      </c>
      <c r="D9" s="74" t="s">
        <v>189</v>
      </c>
      <c r="E9" s="75" t="s">
        <v>30</v>
      </c>
      <c r="F9" s="75"/>
      <c r="G9" s="74" t="s">
        <v>190</v>
      </c>
      <c r="H9" s="75" t="s">
        <v>33</v>
      </c>
      <c r="I9" s="75"/>
      <c r="J9" s="74" t="s">
        <v>191</v>
      </c>
      <c r="K9" s="412" t="s">
        <v>32</v>
      </c>
      <c r="L9" s="75"/>
      <c r="M9" s="76" t="s">
        <v>192</v>
      </c>
      <c r="N9" s="75" t="s">
        <v>26</v>
      </c>
      <c r="O9" s="75"/>
      <c r="P9" s="76" t="s">
        <v>193</v>
      </c>
      <c r="Q9" s="412" t="s">
        <v>28</v>
      </c>
      <c r="R9" s="75"/>
      <c r="S9" s="76" t="s">
        <v>194</v>
      </c>
      <c r="T9" s="413">
        <f t="shared" si="0"/>
      </c>
      <c r="U9" s="413">
        <f t="shared" si="1"/>
      </c>
      <c r="V9" s="413">
        <f t="shared" si="2"/>
      </c>
      <c r="W9" s="413">
        <f t="shared" si="3"/>
      </c>
      <c r="X9" s="413">
        <f t="shared" si="4"/>
      </c>
      <c r="Y9" s="414">
        <f t="shared" si="5"/>
      </c>
      <c r="Z9" s="76"/>
      <c r="AA9" s="442"/>
      <c r="AB9" s="442"/>
      <c r="AC9" s="442"/>
      <c r="AD9" s="442"/>
      <c r="AE9" s="442"/>
      <c r="AF9" s="442"/>
      <c r="AG9" s="442"/>
      <c r="AH9" s="442"/>
      <c r="AI9" s="442"/>
    </row>
    <row r="10" spans="1:35" ht="12.75">
      <c r="A10" s="412">
        <v>9</v>
      </c>
      <c r="B10" s="411">
        <v>5</v>
      </c>
      <c r="C10" s="76" t="s">
        <v>150</v>
      </c>
      <c r="D10" s="76" t="s">
        <v>197</v>
      </c>
      <c r="E10" s="412" t="s">
        <v>32</v>
      </c>
      <c r="F10" s="412"/>
      <c r="G10" s="76" t="s">
        <v>137</v>
      </c>
      <c r="H10" s="412" t="s">
        <v>28</v>
      </c>
      <c r="I10" s="412"/>
      <c r="J10" s="76" t="s">
        <v>153</v>
      </c>
      <c r="K10" s="412" t="s">
        <v>26</v>
      </c>
      <c r="L10" s="412"/>
      <c r="M10" s="76" t="s">
        <v>203</v>
      </c>
      <c r="N10" s="412" t="s">
        <v>30</v>
      </c>
      <c r="O10" s="412"/>
      <c r="P10" s="76" t="s">
        <v>204</v>
      </c>
      <c r="Q10" s="412" t="s">
        <v>33</v>
      </c>
      <c r="R10" s="412"/>
      <c r="S10" s="76" t="s">
        <v>197</v>
      </c>
      <c r="T10" s="413">
        <f t="shared" si="0"/>
      </c>
      <c r="U10" s="413">
        <f t="shared" si="1"/>
      </c>
      <c r="V10" s="413">
        <f t="shared" si="2"/>
      </c>
      <c r="W10" s="413">
        <f t="shared" si="3"/>
      </c>
      <c r="X10" s="413">
        <f t="shared" si="4"/>
      </c>
      <c r="Y10" s="414">
        <f t="shared" si="5"/>
      </c>
      <c r="Z10" s="76"/>
      <c r="AA10" s="442"/>
      <c r="AB10" s="442"/>
      <c r="AC10" s="442"/>
      <c r="AD10" s="442"/>
      <c r="AE10" s="442"/>
      <c r="AF10" s="442"/>
      <c r="AG10" s="442"/>
      <c r="AH10" s="442"/>
      <c r="AI10" s="442"/>
    </row>
    <row r="11" spans="1:35" ht="12.75">
      <c r="A11" s="412">
        <v>10</v>
      </c>
      <c r="B11" s="411">
        <v>1</v>
      </c>
      <c r="C11" s="76" t="s">
        <v>35</v>
      </c>
      <c r="D11" s="74" t="s">
        <v>205</v>
      </c>
      <c r="E11" s="75" t="s">
        <v>26</v>
      </c>
      <c r="F11" s="75"/>
      <c r="G11" s="74" t="s">
        <v>136</v>
      </c>
      <c r="H11" s="75" t="s">
        <v>30</v>
      </c>
      <c r="I11" s="75"/>
      <c r="J11" s="74" t="s">
        <v>206</v>
      </c>
      <c r="K11" s="412" t="s">
        <v>32</v>
      </c>
      <c r="L11" s="75"/>
      <c r="M11" s="74" t="s">
        <v>34</v>
      </c>
      <c r="N11" s="75" t="s">
        <v>28</v>
      </c>
      <c r="O11" s="75"/>
      <c r="P11" s="74" t="s">
        <v>207</v>
      </c>
      <c r="Q11" s="412" t="s">
        <v>33</v>
      </c>
      <c r="R11" s="75"/>
      <c r="S11" s="76" t="s">
        <v>208</v>
      </c>
      <c r="T11" s="413">
        <f t="shared" si="0"/>
      </c>
      <c r="U11" s="413">
        <f t="shared" si="1"/>
      </c>
      <c r="V11" s="413">
        <f t="shared" si="2"/>
      </c>
      <c r="W11" s="413">
        <f t="shared" si="3"/>
      </c>
      <c r="X11" s="413">
        <f t="shared" si="4"/>
      </c>
      <c r="Y11" s="414">
        <f t="shared" si="5"/>
      </c>
      <c r="Z11" s="76"/>
      <c r="AA11" s="442"/>
      <c r="AB11" s="442"/>
      <c r="AC11" s="442"/>
      <c r="AD11" s="442"/>
      <c r="AE11" s="442"/>
      <c r="AF11" s="442"/>
      <c r="AG11" s="442"/>
      <c r="AH11" s="442"/>
      <c r="AI11" s="442"/>
    </row>
    <row r="12" spans="1:35" ht="12.75">
      <c r="A12" s="412">
        <v>11</v>
      </c>
      <c r="B12" s="411">
        <v>8</v>
      </c>
      <c r="C12" s="76" t="s">
        <v>25</v>
      </c>
      <c r="D12" s="76" t="s">
        <v>219</v>
      </c>
      <c r="E12" s="412" t="s">
        <v>33</v>
      </c>
      <c r="F12" s="412"/>
      <c r="G12" s="76" t="s">
        <v>29</v>
      </c>
      <c r="H12" s="412" t="s">
        <v>26</v>
      </c>
      <c r="I12" s="412"/>
      <c r="J12" s="76" t="s">
        <v>31</v>
      </c>
      <c r="K12" s="412" t="s">
        <v>28</v>
      </c>
      <c r="L12" s="412"/>
      <c r="M12" s="76" t="s">
        <v>27</v>
      </c>
      <c r="N12" s="412" t="s">
        <v>32</v>
      </c>
      <c r="O12" s="412"/>
      <c r="P12" s="76" t="s">
        <v>279</v>
      </c>
      <c r="Q12" s="412" t="s">
        <v>30</v>
      </c>
      <c r="R12" s="412"/>
      <c r="S12" s="76" t="s">
        <v>209</v>
      </c>
      <c r="T12" s="413">
        <f t="shared" si="0"/>
      </c>
      <c r="U12" s="413">
        <f t="shared" si="1"/>
      </c>
      <c r="V12" s="413">
        <f t="shared" si="2"/>
      </c>
      <c r="W12" s="413">
        <f t="shared" si="3"/>
      </c>
      <c r="X12" s="413">
        <f t="shared" si="4"/>
      </c>
      <c r="Y12" s="414">
        <f t="shared" si="5"/>
      </c>
      <c r="Z12" s="76"/>
      <c r="AA12" s="442"/>
      <c r="AB12" s="442"/>
      <c r="AC12" s="442"/>
      <c r="AD12" s="442"/>
      <c r="AE12" s="442"/>
      <c r="AF12" s="442"/>
      <c r="AG12" s="442"/>
      <c r="AH12" s="442"/>
      <c r="AI12" s="442"/>
    </row>
    <row r="13" spans="1:35" ht="13.5" thickBot="1">
      <c r="A13" s="229">
        <v>12</v>
      </c>
      <c r="B13" s="415">
        <v>12</v>
      </c>
      <c r="C13" s="416" t="s">
        <v>225</v>
      </c>
      <c r="D13" s="416" t="s">
        <v>275</v>
      </c>
      <c r="E13" s="229" t="s">
        <v>28</v>
      </c>
      <c r="F13" s="229"/>
      <c r="G13" s="416" t="s">
        <v>276</v>
      </c>
      <c r="H13" s="229" t="s">
        <v>30</v>
      </c>
      <c r="I13" s="229"/>
      <c r="J13" s="416" t="s">
        <v>277</v>
      </c>
      <c r="K13" s="229" t="s">
        <v>26</v>
      </c>
      <c r="L13" s="229"/>
      <c r="M13" s="416" t="s">
        <v>193</v>
      </c>
      <c r="N13" s="229" t="s">
        <v>33</v>
      </c>
      <c r="O13" s="229"/>
      <c r="P13" s="416" t="s">
        <v>278</v>
      </c>
      <c r="Q13" s="229" t="s">
        <v>32</v>
      </c>
      <c r="R13" s="229"/>
      <c r="S13" s="416" t="s">
        <v>278</v>
      </c>
      <c r="T13" s="417">
        <f t="shared" si="0"/>
      </c>
      <c r="U13" s="417">
        <f t="shared" si="1"/>
      </c>
      <c r="V13" s="417">
        <f t="shared" si="2"/>
      </c>
      <c r="W13" s="417">
        <f t="shared" si="3"/>
      </c>
      <c r="X13" s="417">
        <f t="shared" si="4"/>
      </c>
      <c r="Y13" s="418">
        <f t="shared" si="5"/>
      </c>
      <c r="Z13" s="416"/>
      <c r="AA13" s="442"/>
      <c r="AB13" s="442"/>
      <c r="AC13" s="442"/>
      <c r="AD13" s="442"/>
      <c r="AE13" s="442"/>
      <c r="AF13" s="442"/>
      <c r="AG13" s="442"/>
      <c r="AH13" s="442"/>
      <c r="AI13" s="442"/>
    </row>
    <row r="14" spans="2:18" ht="12.75">
      <c r="B14" s="440"/>
      <c r="E14" s="439"/>
      <c r="F14" s="439"/>
      <c r="H14" s="439"/>
      <c r="I14" s="439"/>
      <c r="K14" s="439"/>
      <c r="L14" s="439"/>
      <c r="N14" s="439"/>
      <c r="O14" s="439"/>
      <c r="P14" s="442"/>
      <c r="Q14" s="439"/>
      <c r="R14" s="439"/>
    </row>
    <row r="15" spans="2:18" ht="12.75">
      <c r="B15" s="440"/>
      <c r="D15" s="442"/>
      <c r="E15" s="443"/>
      <c r="F15" s="443"/>
      <c r="G15" s="442"/>
      <c r="H15" s="443"/>
      <c r="I15" s="443"/>
      <c r="J15" s="442"/>
      <c r="K15" s="439"/>
      <c r="L15" s="443"/>
      <c r="N15" s="443"/>
      <c r="O15" s="443"/>
      <c r="Q15" s="439"/>
      <c r="R15" s="443"/>
    </row>
    <row r="16" spans="2:18" ht="12.75">
      <c r="B16" s="440"/>
      <c r="D16" s="442"/>
      <c r="E16" s="443"/>
      <c r="F16" s="443"/>
      <c r="G16" s="442"/>
      <c r="H16" s="443"/>
      <c r="I16" s="443"/>
      <c r="J16" s="442"/>
      <c r="K16" s="439"/>
      <c r="L16" s="443"/>
      <c r="M16" s="442"/>
      <c r="N16" s="443"/>
      <c r="O16" s="443"/>
      <c r="Q16" s="439"/>
      <c r="R16" s="443"/>
    </row>
    <row r="17" spans="2:18" ht="12.75">
      <c r="B17" s="440"/>
      <c r="D17" s="442"/>
      <c r="E17" s="443"/>
      <c r="F17" s="443"/>
      <c r="G17" s="442"/>
      <c r="H17" s="443"/>
      <c r="I17" s="443"/>
      <c r="J17" s="442"/>
      <c r="K17" s="439"/>
      <c r="L17" s="443"/>
      <c r="M17" s="442"/>
      <c r="N17" s="443"/>
      <c r="O17" s="443"/>
      <c r="Q17" s="439"/>
      <c r="R17" s="443"/>
    </row>
    <row r="18" spans="2:18" ht="12.75">
      <c r="B18" s="440"/>
      <c r="E18" s="439"/>
      <c r="F18" s="439"/>
      <c r="H18" s="439"/>
      <c r="I18" s="439"/>
      <c r="K18" s="439"/>
      <c r="L18" s="439"/>
      <c r="M18" s="442"/>
      <c r="N18" s="439"/>
      <c r="O18" s="439"/>
      <c r="Q18" s="439"/>
      <c r="R18" s="439"/>
    </row>
    <row r="19" spans="2:18" ht="12.75">
      <c r="B19" s="440"/>
      <c r="D19" s="442"/>
      <c r="E19" s="443"/>
      <c r="F19" s="443"/>
      <c r="G19" s="442"/>
      <c r="H19" s="443"/>
      <c r="I19" s="443"/>
      <c r="J19" s="442"/>
      <c r="K19" s="439"/>
      <c r="L19" s="443"/>
      <c r="N19" s="443"/>
      <c r="O19" s="443"/>
      <c r="Q19" s="439"/>
      <c r="R19" s="443"/>
    </row>
    <row r="20" spans="2:18" ht="12.75">
      <c r="B20" s="440"/>
      <c r="D20" s="442"/>
      <c r="E20" s="443"/>
      <c r="F20" s="443"/>
      <c r="G20" s="442"/>
      <c r="H20" s="443"/>
      <c r="I20" s="443"/>
      <c r="J20" s="442"/>
      <c r="K20" s="439"/>
      <c r="L20" s="443"/>
      <c r="N20" s="443"/>
      <c r="O20" s="443"/>
      <c r="Q20" s="439"/>
      <c r="R20" s="443"/>
    </row>
    <row r="21" spans="2:18" ht="12.75">
      <c r="B21" s="440"/>
      <c r="D21" s="442"/>
      <c r="E21" s="439"/>
      <c r="F21" s="443"/>
      <c r="H21" s="439"/>
      <c r="I21" s="439"/>
      <c r="J21" s="442"/>
      <c r="K21" s="439"/>
      <c r="L21" s="443"/>
      <c r="M21" s="442"/>
      <c r="N21" s="439"/>
      <c r="O21" s="439"/>
      <c r="P21" s="442"/>
      <c r="Q21" s="439"/>
      <c r="R21" s="443"/>
    </row>
    <row r="22" spans="2:18" ht="12.75">
      <c r="B22" s="440"/>
      <c r="E22" s="439"/>
      <c r="F22" s="439"/>
      <c r="H22" s="439"/>
      <c r="I22" s="439"/>
      <c r="K22" s="439"/>
      <c r="L22" s="439"/>
      <c r="M22" s="445"/>
      <c r="N22" s="439"/>
      <c r="O22" s="439"/>
      <c r="Q22" s="439"/>
      <c r="R22" s="439"/>
    </row>
    <row r="23" spans="2:18" ht="12.75">
      <c r="B23" s="440"/>
      <c r="E23" s="439"/>
      <c r="F23" s="439"/>
      <c r="H23" s="439"/>
      <c r="I23" s="439"/>
      <c r="K23" s="439"/>
      <c r="L23" s="439"/>
      <c r="N23" s="439"/>
      <c r="O23" s="439"/>
      <c r="P23" s="442"/>
      <c r="Q23" s="439"/>
      <c r="R23" s="439"/>
    </row>
    <row r="24" spans="2:18" ht="12.75">
      <c r="B24" s="440"/>
      <c r="E24" s="439"/>
      <c r="F24" s="439"/>
      <c r="H24" s="439"/>
      <c r="I24" s="439"/>
      <c r="K24" s="439"/>
      <c r="L24" s="439"/>
      <c r="N24" s="439"/>
      <c r="O24" s="439"/>
      <c r="P24" s="442"/>
      <c r="Q24" s="439"/>
      <c r="R24" s="439"/>
    </row>
    <row r="25" spans="2:18" ht="12.75">
      <c r="B25" s="440"/>
      <c r="E25" s="439"/>
      <c r="F25" s="439"/>
      <c r="H25" s="439"/>
      <c r="I25" s="439"/>
      <c r="K25" s="439"/>
      <c r="L25" s="439"/>
      <c r="M25" s="442"/>
      <c r="N25" s="439"/>
      <c r="O25" s="439"/>
      <c r="Q25" s="439"/>
      <c r="R25" s="439"/>
    </row>
    <row r="26" spans="2:18" ht="12.75">
      <c r="B26" s="440"/>
      <c r="E26" s="439"/>
      <c r="F26" s="439"/>
      <c r="H26" s="439"/>
      <c r="I26" s="439"/>
      <c r="K26" s="439"/>
      <c r="L26" s="439"/>
      <c r="M26" s="442"/>
      <c r="N26" s="439"/>
      <c r="O26" s="439"/>
      <c r="P26" s="442"/>
      <c r="Q26" s="439"/>
      <c r="R26" s="439"/>
    </row>
    <row r="27" spans="2:18" ht="12.75">
      <c r="B27" s="440"/>
      <c r="E27" s="439"/>
      <c r="F27" s="439"/>
      <c r="H27" s="439"/>
      <c r="I27" s="439"/>
      <c r="K27" s="439"/>
      <c r="L27" s="439"/>
      <c r="N27" s="439"/>
      <c r="O27" s="439"/>
      <c r="Q27" s="439"/>
      <c r="R27" s="439"/>
    </row>
    <row r="28" spans="2:18" ht="12.75">
      <c r="B28" s="440"/>
      <c r="E28" s="439"/>
      <c r="F28" s="439"/>
      <c r="H28" s="439"/>
      <c r="I28" s="439"/>
      <c r="K28" s="439"/>
      <c r="L28" s="439"/>
      <c r="N28" s="439"/>
      <c r="O28" s="439"/>
      <c r="Q28" s="439"/>
      <c r="R28" s="439"/>
    </row>
    <row r="29" spans="2:18" ht="12.75">
      <c r="B29" s="440"/>
      <c r="E29" s="439"/>
      <c r="F29" s="439"/>
      <c r="H29" s="439"/>
      <c r="I29" s="439"/>
      <c r="K29" s="439"/>
      <c r="L29" s="439"/>
      <c r="N29" s="439"/>
      <c r="O29" s="439"/>
      <c r="Q29" s="439"/>
      <c r="R29" s="439"/>
    </row>
    <row r="30" spans="2:18" ht="12.75">
      <c r="B30" s="440"/>
      <c r="E30" s="439"/>
      <c r="F30" s="439"/>
      <c r="H30" s="439"/>
      <c r="I30" s="439"/>
      <c r="K30" s="439"/>
      <c r="L30" s="439"/>
      <c r="N30" s="439"/>
      <c r="O30" s="439"/>
      <c r="Q30" s="439"/>
      <c r="R30" s="439"/>
    </row>
    <row r="31" spans="2:18" ht="12.75">
      <c r="B31" s="440"/>
      <c r="E31" s="439"/>
      <c r="F31" s="439"/>
      <c r="H31" s="439"/>
      <c r="I31" s="439"/>
      <c r="K31" s="439"/>
      <c r="L31" s="439"/>
      <c r="N31" s="439"/>
      <c r="O31" s="439"/>
      <c r="P31" s="442"/>
      <c r="Q31" s="439"/>
      <c r="R31" s="439"/>
    </row>
    <row r="32" spans="2:18" ht="12.75">
      <c r="B32" s="440"/>
      <c r="E32" s="439"/>
      <c r="F32" s="439"/>
      <c r="H32" s="439"/>
      <c r="I32" s="439"/>
      <c r="K32" s="439"/>
      <c r="L32" s="439"/>
      <c r="N32" s="439"/>
      <c r="O32" s="439"/>
      <c r="Q32" s="439"/>
      <c r="R32" s="439"/>
    </row>
    <row r="33" spans="2:18" ht="12.75">
      <c r="B33" s="440"/>
      <c r="E33" s="439"/>
      <c r="F33" s="439"/>
      <c r="H33" s="439"/>
      <c r="I33" s="439"/>
      <c r="K33" s="439"/>
      <c r="L33" s="439"/>
      <c r="M33" s="442"/>
      <c r="N33" s="439"/>
      <c r="O33" s="439"/>
      <c r="P33" s="442"/>
      <c r="Q33" s="439"/>
      <c r="R33" s="439"/>
    </row>
    <row r="34" spans="2:18" ht="12.75">
      <c r="B34" s="440"/>
      <c r="E34" s="439"/>
      <c r="F34" s="439"/>
      <c r="H34" s="439"/>
      <c r="I34" s="439"/>
      <c r="K34" s="439"/>
      <c r="L34" s="439"/>
      <c r="M34" s="442"/>
      <c r="N34" s="439"/>
      <c r="O34" s="439"/>
      <c r="Q34" s="439"/>
      <c r="R34" s="439"/>
    </row>
    <row r="35" spans="2:18" ht="12.75">
      <c r="B35" s="440"/>
      <c r="E35" s="439"/>
      <c r="F35" s="439"/>
      <c r="H35" s="439"/>
      <c r="I35" s="439"/>
      <c r="K35" s="439"/>
      <c r="L35" s="439"/>
      <c r="N35" s="439"/>
      <c r="O35" s="439"/>
      <c r="Q35" s="439"/>
      <c r="R35" s="439"/>
    </row>
    <row r="36" spans="2:18" ht="12.75">
      <c r="B36" s="440"/>
      <c r="E36" s="439"/>
      <c r="F36" s="439"/>
      <c r="H36" s="439"/>
      <c r="I36" s="439"/>
      <c r="K36" s="439"/>
      <c r="L36" s="439"/>
      <c r="N36" s="439"/>
      <c r="O36" s="439"/>
      <c r="P36" s="442"/>
      <c r="Q36" s="439"/>
      <c r="R36" s="439"/>
    </row>
    <row r="37" spans="3:12" ht="12.75">
      <c r="C37" s="442"/>
      <c r="D37" s="442"/>
      <c r="E37" s="446"/>
      <c r="F37" s="442"/>
      <c r="G37" s="442"/>
      <c r="H37" s="446"/>
      <c r="I37" s="442"/>
      <c r="J37" s="442"/>
      <c r="L37" s="442"/>
    </row>
  </sheetData>
  <sheetProtection/>
  <dataValidations count="7">
    <dataValidation errorStyle="warning" type="whole" allowBlank="1" showInputMessage="1" showErrorMessage="1" errorTitle="POZOR !" error="Moguće je upisati isključivo broj od 1-12 !" sqref="A2:B13">
      <formula1>1</formula1>
      <formula2>12</formula2>
    </dataValidation>
    <dataValidation errorStyle="warning" type="list" allowBlank="1" showInputMessage="1" showErrorMessage="1" errorTitle="OPREZ !" error="Unose se samo velika štampana slova A,B,C,D ili E" sqref="E2:E13 H2:H13 K2:K13 N2:N13 Q2:Q13">
      <formula1>$T$1:$X$1</formula1>
    </dataValidation>
    <dataValidation errorStyle="warning" type="whole" allowBlank="1" showInputMessage="1" showErrorMessage="1" errorTitle="POZOR" error="Moguće je upisati isključivo broj od 1-12!" sqref="R2:R13 O2:O13 L2:L13 I2:I13 F2:F13">
      <formula1>1</formula1>
      <formula2>12</formula2>
    </dataValidation>
    <dataValidation allowBlank="1" showInputMessage="1" showErrorMessage="1" promptTitle="SAVJET !" prompt="Preporuča se da se ekipe, kao i imena i prezimena natjecatelja u susjednim kolonama,ne pišu velikim slovima i da se ne koriste navodnici jer se time nepotrebno zauzima mjesto u tabelama.Upišite npr:&#10;Ilova Garešnica  , Dražen Červeni" sqref="C2"/>
    <dataValidation type="whole" allowBlank="1" showInputMessage="1" showErrorMessage="1" promptTitle="OPREZ !" prompt="Ovdje ne unosi ništa jer polje sadržava formulu za KONTROLU DUPLIH UPISA sektora, redosljeda izvlačenja i jedinstvenog startnog broja." errorTitle="STANI !" error="Polje sadrži formulu koja se ne smije dirati, ODUSTANI ! " sqref="Y2:Y13">
      <formula1>0</formula1>
      <formula2>0</formula2>
    </dataValidation>
    <dataValidation type="whole" allowBlank="1" showInputMessage="1" showErrorMessage="1" promptTitle="OPREZ !" prompt="Ovdje ne unosi i ne briši ništa jer polje sadržava formulu. Ovo područje služi isključivo za sortiranja startnih listi kada su sektori razdvojeni.Po ispisu startnih lista ostavi sortirano po koloni &quot;A&quot;:" errorTitle="STANI !" error="Polje sadrži formule koje se ne smiju dirati, ODUSTANI !" sqref="T2:X13">
      <formula1>0</formula1>
      <formula2>0</formula2>
    </dataValidation>
    <dataValidation errorStyle="warning" type="textLength" allowBlank="1" showInputMessage="1" showErrorMessage="1" errorTitle="OPREZ !" error="Provjeri što unosiš, ODUSTANI !" sqref="C3:C13 D2:D13 G2:G13 J2:J13 M2:M13 P2:P13 S2:S13">
      <formula1>3</formula1>
      <formula2>50</formula2>
    </dataValidation>
  </dataValidations>
  <printOptions horizontalCentered="1"/>
  <pageMargins left="0.2755905511811024" right="0.5" top="1.1" bottom="0.3937007874015748" header="0.62" footer="0.3937007874015748"/>
  <pageSetup blackAndWhite="1" horizontalDpi="300" verticalDpi="300" orientation="landscape" paperSize="9" scale="82" r:id="rId4"/>
  <headerFooter alignWithMargins="0">
    <oddHeader>&amp;C&amp;"Arial,Podebljano"&amp;18Prijava ekipa i izvlačenja brojeva&amp;R&amp;12&amp;D   &amp;T h</oddHeader>
    <oddFooter>&amp;C&amp;"Arial,Kurziv"&amp;14&amp;YProgram za izračun rezultata i provođenje natjecanja&amp;R&amp;14NIJE POTREBNO UPISIVATI U PRIJAVNICE !</oddFooter>
  </headerFooter>
  <drawing r:id="rId3"/>
  <legacyDrawing r:id="rId2"/>
</worksheet>
</file>

<file path=xl/worksheets/sheet20.xml><?xml version="1.0" encoding="utf-8"?>
<worksheet xmlns="http://schemas.openxmlformats.org/spreadsheetml/2006/main" xmlns:r="http://schemas.openxmlformats.org/officeDocument/2006/relationships">
  <sheetPr codeName="List3">
    <tabColor indexed="51"/>
  </sheetPr>
  <dimension ref="A1:H110"/>
  <sheetViews>
    <sheetView showRowColHeaders="0" zoomScalePageLayoutView="0" workbookViewId="0" topLeftCell="A1">
      <selection activeCell="M9" sqref="M9"/>
    </sheetView>
  </sheetViews>
  <sheetFormatPr defaultColWidth="9.140625" defaultRowHeight="12.75"/>
  <cols>
    <col min="1" max="1" width="5.7109375" style="16" customWidth="1"/>
    <col min="2" max="2" width="23.421875" style="16" customWidth="1"/>
    <col min="3" max="3" width="21.00390625" style="16" customWidth="1"/>
    <col min="4" max="4" width="11.28125" style="16" customWidth="1"/>
    <col min="5" max="5" width="9.00390625" style="16" customWidth="1"/>
    <col min="6" max="6" width="11.421875" style="16" customWidth="1"/>
    <col min="7" max="16384" width="9.140625" style="16" customWidth="1"/>
  </cols>
  <sheetData>
    <row r="1" spans="1:6" ht="12.75">
      <c r="A1" s="250" t="s">
        <v>248</v>
      </c>
      <c r="B1" s="251"/>
      <c r="C1" s="301" t="str">
        <f>IF(ISNONTEXT('Organizacija natjecanja'!$H$2)=TRUE,"",'Organizacija natjecanja'!$H$2)</f>
        <v>KUP "BLJESAK"</v>
      </c>
      <c r="D1" s="253"/>
      <c r="E1" s="254"/>
      <c r="F1" s="255"/>
    </row>
    <row r="2" spans="1:6" ht="12.75">
      <c r="A2" s="256" t="s">
        <v>249</v>
      </c>
      <c r="B2" s="257"/>
      <c r="C2" s="302" t="str">
        <f>IF(ISNONTEXT('Organizacija natjecanja'!$H$5)=TRUE,"",'Organizacija natjecanja'!$H$5)</f>
        <v>Lipik, 28.04.2009.g.</v>
      </c>
      <c r="D2" s="259"/>
      <c r="E2" s="258"/>
      <c r="F2" s="260"/>
    </row>
    <row r="3" spans="1:8" ht="12.75" customHeight="1">
      <c r="A3" s="256" t="s">
        <v>250</v>
      </c>
      <c r="B3" s="257"/>
      <c r="C3" s="261" t="str">
        <f>IF(ISNONTEXT('Organizacija natjecanja'!$H$7)=TRUE,"",'Organizacija natjecanja'!$H$7)</f>
        <v>ŠRS Požeško slavonske županije</v>
      </c>
      <c r="D3" s="262"/>
      <c r="E3" s="263"/>
      <c r="F3" s="264"/>
      <c r="H3" s="144"/>
    </row>
    <row r="4" spans="1:6" ht="12.75">
      <c r="A4" s="256" t="s">
        <v>251</v>
      </c>
      <c r="B4" s="257"/>
      <c r="C4" s="261" t="str">
        <f>IF(ISNONTEXT('Organizacija natjecanja'!$H$13)=TRUE,"",'Organizacija natjecanja'!$H$13)</f>
        <v>ŠRD Pakrac Pakrac</v>
      </c>
      <c r="D4" s="262"/>
      <c r="E4" s="263"/>
      <c r="F4" s="264"/>
    </row>
    <row r="5" spans="1:6" ht="12.75">
      <c r="A5" s="256" t="s">
        <v>252</v>
      </c>
      <c r="B5" s="257"/>
      <c r="C5" s="261" t="str">
        <f>IF(ISNONTEXT('Organizacija natjecanja'!$H$4)=TRUE,"",'Organizacija natjecanja'!$H$4)</f>
        <v>Jezero Raminac</v>
      </c>
      <c r="D5" s="262"/>
      <c r="E5" s="263"/>
      <c r="F5" s="264"/>
    </row>
    <row r="6" spans="1:6" ht="12.75">
      <c r="A6" s="256"/>
      <c r="B6" s="257"/>
      <c r="C6" s="261"/>
      <c r="D6" s="262"/>
      <c r="E6" s="263"/>
      <c r="F6" s="264"/>
    </row>
    <row r="7" spans="1:6" ht="14.25" customHeight="1">
      <c r="A7" s="265" t="s">
        <v>77</v>
      </c>
      <c r="B7" s="266"/>
      <c r="C7" s="267" t="str">
        <f>IF(ISBLANK('Organizacija natjecanja'!$H$9)=TRUE,"",'Organizacija natjecanja'!$H$9)</f>
        <v>SENIORI</v>
      </c>
      <c r="D7" s="268"/>
      <c r="E7" s="269"/>
      <c r="F7" s="270"/>
    </row>
    <row r="8" spans="1:6" ht="12.75">
      <c r="A8" s="299"/>
      <c r="B8" s="289"/>
      <c r="C8" s="290"/>
      <c r="D8" s="291"/>
      <c r="E8" s="292"/>
      <c r="F8" s="300"/>
    </row>
    <row r="9" spans="1:6" ht="12.75">
      <c r="A9" s="271" t="s">
        <v>253</v>
      </c>
      <c r="B9" s="272"/>
      <c r="C9" s="272"/>
      <c r="D9" s="273"/>
      <c r="E9" s="272"/>
      <c r="F9" s="274"/>
    </row>
    <row r="10" spans="1:6" ht="12.75">
      <c r="A10" s="275" t="s">
        <v>254</v>
      </c>
      <c r="B10" s="276" t="s">
        <v>22</v>
      </c>
      <c r="C10" s="276" t="s">
        <v>21</v>
      </c>
      <c r="D10" s="277" t="s">
        <v>255</v>
      </c>
      <c r="E10" s="278" t="s">
        <v>256</v>
      </c>
      <c r="F10" s="279" t="s">
        <v>257</v>
      </c>
    </row>
    <row r="11" spans="1:6" ht="12.75">
      <c r="A11" s="286">
        <f>IF(ISNUMBER(F11)=FALSE,"",1)</f>
        <v>1</v>
      </c>
      <c r="B11" s="295" t="str">
        <f>IF(ISNONTEXT('Sektorski plasman'!D8)=TRUE,"",'Sektorski plasman'!D8)</f>
        <v>Elvis Šinko</v>
      </c>
      <c r="C11" s="296" t="str">
        <f>IF(ISNONTEXT('Sektorski plasman'!E8)=TRUE,"",'Sektorski plasman'!E8)</f>
        <v>Korana Karlovac</v>
      </c>
      <c r="D11" s="345">
        <f>IF(ISNUMBER('Sektorski plasman'!B8)=FALSE,"",'Sektorski plasman'!B8)</f>
        <v>5000</v>
      </c>
      <c r="E11" s="287">
        <f>IF(ISNUMBER('Sektorski plasman'!C8)=FALSE,"",'Sektorski plasman'!C8)</f>
        <v>1</v>
      </c>
      <c r="F11" s="288">
        <f>IF(ISNUMBER('Sektorski plasman'!A8)=FALSE,"",'Sektorski plasman'!A8)</f>
        <v>1</v>
      </c>
    </row>
    <row r="12" spans="1:6" ht="12.75">
      <c r="A12" s="280">
        <f>IF(ISNUMBER(F12)=FALSE,"",2)</f>
        <v>2</v>
      </c>
      <c r="B12" s="297" t="str">
        <f>IF(ISNONTEXT('Sektorski plasman'!D9)=TRUE,"",'Sektorski plasman'!D9)</f>
        <v>Goran Štargl</v>
      </c>
      <c r="C12" s="298" t="str">
        <f>IF(ISNONTEXT('Sektorski plasman'!E9)=TRUE,"",'Sektorski plasman'!E9)</f>
        <v>Štuka Torčec</v>
      </c>
      <c r="D12" s="346">
        <f>IF(ISNUMBER('Sektorski plasman'!B9)=FALSE,"",'Sektorski plasman'!B9)</f>
        <v>4235</v>
      </c>
      <c r="E12" s="281">
        <f>IF(ISNUMBER('Sektorski plasman'!C9)=FALSE,"",'Sektorski plasman'!C9)</f>
        <v>2</v>
      </c>
      <c r="F12" s="282">
        <f>IF(ISNUMBER('Sektorski plasman'!A9)=FALSE,"",'Sektorski plasman'!A9)</f>
        <v>2</v>
      </c>
    </row>
    <row r="13" spans="1:6" ht="12.75">
      <c r="A13" s="280">
        <f>IF(ISNUMBER(F13)=FALSE,"",3)</f>
        <v>3</v>
      </c>
      <c r="B13" s="297" t="str">
        <f>IF(ISNONTEXT('Sektorski plasman'!D10)=TRUE,"",'Sektorski plasman'!D10)</f>
        <v>Mladen Kečkeš</v>
      </c>
      <c r="C13" s="298" t="str">
        <f>IF(ISNONTEXT('Sektorski plasman'!E10)=TRUE,"",'Sektorski plasman'!E10)</f>
        <v>Rak Rakitje</v>
      </c>
      <c r="D13" s="346">
        <f>IF(ISNUMBER('Sektorski plasman'!B10)=FALSE,"",'Sektorski plasman'!B10)</f>
        <v>2978</v>
      </c>
      <c r="E13" s="281">
        <f>IF(ISNUMBER('Sektorski plasman'!C10)=FALSE,"",'Sektorski plasman'!C10)</f>
        <v>3</v>
      </c>
      <c r="F13" s="282">
        <f>IF(ISNUMBER('Sektorski plasman'!A10)=FALSE,"",'Sektorski plasman'!A10)</f>
        <v>3</v>
      </c>
    </row>
    <row r="14" spans="1:6" ht="12.75">
      <c r="A14" s="280">
        <f>IF(ISNUMBER(F14)=FALSE,"",4)</f>
        <v>4</v>
      </c>
      <c r="B14" s="297" t="str">
        <f>IF(ISNONTEXT('Sektorski plasman'!D11)=TRUE,"",'Sektorski plasman'!D11)</f>
        <v>Zlatko Šapina</v>
      </c>
      <c r="C14" s="298" t="str">
        <f>IF(ISNONTEXT('Sektorski plasman'!E11)=TRUE,"",'Sektorski plasman'!E11)</f>
        <v>Ilova Garešnica</v>
      </c>
      <c r="D14" s="346">
        <f>IF(ISNUMBER('Sektorski plasman'!B11)=FALSE,"",'Sektorski plasman'!B11)</f>
        <v>2800</v>
      </c>
      <c r="E14" s="281">
        <f>IF(ISNUMBER('Sektorski plasman'!C11)=FALSE,"",'Sektorski plasman'!C11)</f>
        <v>11</v>
      </c>
      <c r="F14" s="282">
        <f>IF(ISNUMBER('Sektorski plasman'!A11)=FALSE,"",'Sektorski plasman'!A11)</f>
        <v>4</v>
      </c>
    </row>
    <row r="15" spans="1:6" ht="12.75">
      <c r="A15" s="280">
        <f>IF(ISNUMBER(F15)=FALSE,"",5)</f>
        <v>5</v>
      </c>
      <c r="B15" s="297" t="str">
        <f>IF(ISNONTEXT('Sektorski plasman'!D12)=TRUE,"",'Sektorski plasman'!D12)</f>
        <v>Dražen Bajzek</v>
      </c>
      <c r="C15" s="298" t="str">
        <f>IF(ISNONTEXT('Sektorski plasman'!E12)=TRUE,"",'Sektorski plasman'!E12)</f>
        <v>Azzuro Varaždin</v>
      </c>
      <c r="D15" s="346">
        <f>IF(ISNUMBER('Sektorski plasman'!B12)=FALSE,"",'Sektorski plasman'!B12)</f>
        <v>2105</v>
      </c>
      <c r="E15" s="281">
        <f>IF(ISNUMBER('Sektorski plasman'!C12)=FALSE,"",'Sektorski plasman'!C12)</f>
        <v>6</v>
      </c>
      <c r="F15" s="282">
        <f>IF(ISNUMBER('Sektorski plasman'!A12)=FALSE,"",'Sektorski plasman'!A12)</f>
        <v>5</v>
      </c>
    </row>
    <row r="16" spans="1:6" ht="12.75">
      <c r="A16" s="280">
        <f>IF(ISNUMBER(F16)=FALSE,"",6)</f>
        <v>6</v>
      </c>
      <c r="B16" s="297" t="str">
        <f>IF(ISNONTEXT('Sektorski plasman'!D13)=TRUE,"",'Sektorski plasman'!D13)</f>
        <v>Dalibor Agbaba</v>
      </c>
      <c r="C16" s="298" t="str">
        <f>IF(ISNONTEXT('Sektorski plasman'!E13)=TRUE,"",'Sektorski plasman'!E13)</f>
        <v>TPK Zagreb</v>
      </c>
      <c r="D16" s="346">
        <f>IF(ISNUMBER('Sektorski plasman'!B13)=FALSE,"",'Sektorski plasman'!B13)</f>
        <v>1765</v>
      </c>
      <c r="E16" s="281">
        <f>IF(ISNUMBER('Sektorski plasman'!C13)=FALSE,"",'Sektorski plasman'!C13)</f>
        <v>10</v>
      </c>
      <c r="F16" s="282">
        <f>IF(ISNUMBER('Sektorski plasman'!A13)=FALSE,"",'Sektorski plasman'!A13)</f>
        <v>6</v>
      </c>
    </row>
    <row r="17" spans="1:6" ht="12.75">
      <c r="A17" s="280">
        <f>IF(ISNUMBER(F17)=FALSE,"",7)</f>
        <v>7</v>
      </c>
      <c r="B17" s="297" t="str">
        <f>IF(ISNONTEXT('Sektorski plasman'!D14)=TRUE,"",'Sektorski plasman'!D14)</f>
        <v>Mladen Meseš</v>
      </c>
      <c r="C17" s="298" t="str">
        <f>IF(ISNONTEXT('Sektorski plasman'!E14)=TRUE,"",'Sektorski plasman'!E14)</f>
        <v>Jez Jasenovac</v>
      </c>
      <c r="D17" s="346">
        <f>IF(ISNUMBER('Sektorski plasman'!B14)=FALSE,"",'Sektorski plasman'!B14)</f>
        <v>1680</v>
      </c>
      <c r="E17" s="281">
        <f>IF(ISNUMBER('Sektorski plasman'!C14)=FALSE,"",'Sektorski plasman'!C14)</f>
        <v>12</v>
      </c>
      <c r="F17" s="282">
        <f>IF(ISNUMBER('Sektorski plasman'!A14)=FALSE,"",'Sektorski plasman'!A14)</f>
        <v>7</v>
      </c>
    </row>
    <row r="18" spans="1:6" ht="12.75">
      <c r="A18" s="280">
        <f>IF(ISNUMBER(F18)=FALSE,"",8)</f>
        <v>8</v>
      </c>
      <c r="B18" s="297" t="str">
        <f>IF(ISNONTEXT('Sektorski plasman'!D15)=TRUE,"",'Sektorski plasman'!D15)</f>
        <v>Domagoj Ceković</v>
      </c>
      <c r="C18" s="298" t="str">
        <f>IF(ISNONTEXT('Sektorski plasman'!E15)=TRUE,"",'Sektorski plasman'!E15)</f>
        <v>Bjelka GME Sunja</v>
      </c>
      <c r="D18" s="346">
        <f>IF(ISNUMBER('Sektorski plasman'!B15)=FALSE,"",'Sektorski plasman'!B15)</f>
        <v>1470</v>
      </c>
      <c r="E18" s="281">
        <f>IF(ISNUMBER('Sektorski plasman'!C15)=FALSE,"",'Sektorski plasman'!C15)</f>
        <v>9</v>
      </c>
      <c r="F18" s="282">
        <f>IF(ISNUMBER('Sektorski plasman'!A15)=FALSE,"",'Sektorski plasman'!A15)</f>
        <v>8</v>
      </c>
    </row>
    <row r="19" spans="1:6" ht="12.75">
      <c r="A19" s="280">
        <f>IF(ISNUMBER(F19)=FALSE,"",9)</f>
        <v>9</v>
      </c>
      <c r="B19" s="297" t="str">
        <f>IF(ISNONTEXT('Sektorski plasman'!D16)=TRUE,"",'Sektorski plasman'!D16)</f>
        <v>Damir Dević</v>
      </c>
      <c r="C19" s="298" t="str">
        <f>IF(ISNONTEXT('Sektorski plasman'!E16)=TRUE,"",'Sektorski plasman'!E16)</f>
        <v>Klen N.Gradiška</v>
      </c>
      <c r="D19" s="346">
        <f>IF(ISNUMBER('Sektorski plasman'!B16)=FALSE,"",'Sektorski plasman'!B16)</f>
        <v>1125</v>
      </c>
      <c r="E19" s="281">
        <f>IF(ISNUMBER('Sektorski plasman'!C16)=FALSE,"",'Sektorski plasman'!C16)</f>
        <v>8</v>
      </c>
      <c r="F19" s="282">
        <f>IF(ISNUMBER('Sektorski plasman'!A16)=FALSE,"",'Sektorski plasman'!A16)</f>
        <v>9</v>
      </c>
    </row>
    <row r="20" spans="1:6" ht="12.75">
      <c r="A20" s="280">
        <f>IF(ISNUMBER(F20)=FALSE,"",10)</f>
        <v>10</v>
      </c>
      <c r="B20" s="297" t="str">
        <f>IF(ISNONTEXT('Sektorski plasman'!D17)=TRUE,"",'Sektorski plasman'!D17)</f>
        <v>Zdravko Gotovac</v>
      </c>
      <c r="C20" s="298" t="str">
        <f>IF(ISNONTEXT('Sektorski plasman'!E17)=TRUE,"",'Sektorski plasman'!E17)</f>
        <v>Trnje-ŠR Zagreb</v>
      </c>
      <c r="D20" s="346">
        <f>IF(ISNUMBER('Sektorski plasman'!B17)=FALSE,"",'Sektorski plasman'!B17)</f>
        <v>905</v>
      </c>
      <c r="E20" s="281">
        <f>IF(ISNUMBER('Sektorski plasman'!C17)=FALSE,"",'Sektorski plasman'!C17)</f>
        <v>7</v>
      </c>
      <c r="F20" s="282">
        <f>IF(ISNUMBER('Sektorski plasman'!A17)=FALSE,"",'Sektorski plasman'!A17)</f>
        <v>10.5</v>
      </c>
    </row>
    <row r="21" spans="1:6" ht="12.75">
      <c r="A21" s="280">
        <f>IF(ISNUMBER(F21)=FALSE,"",11)</f>
        <v>11</v>
      </c>
      <c r="B21" s="297" t="str">
        <f>IF(ISNONTEXT('Sektorski plasman'!D18)=TRUE,"",'Sektorski plasman'!D18)</f>
        <v>Emil Lukman</v>
      </c>
      <c r="C21" s="298" t="str">
        <f>IF(ISNONTEXT('Sektorski plasman'!E18)=TRUE,"",'Sektorski plasman'!E18)</f>
        <v>Bjelovar Bjelovar</v>
      </c>
      <c r="D21" s="346">
        <f>IF(ISNUMBER('Sektorski plasman'!B18)=FALSE,"",'Sektorski plasman'!B18)</f>
        <v>905</v>
      </c>
      <c r="E21" s="281">
        <f>IF(ISNUMBER('Sektorski plasman'!C18)=FALSE,"",'Sektorski plasman'!C18)</f>
        <v>4</v>
      </c>
      <c r="F21" s="282">
        <f>IF(ISNUMBER('Sektorski plasman'!A18)=FALSE,"",'Sektorski plasman'!A18)</f>
        <v>10.5</v>
      </c>
    </row>
    <row r="22" spans="1:6" ht="12.75">
      <c r="A22" s="283">
        <f>IF(ISNUMBER(F22)=FALSE,"",12)</f>
        <v>12</v>
      </c>
      <c r="B22" s="293" t="str">
        <f>IF(ISNONTEXT('Sektorski plasman'!D19)=TRUE,"",'Sektorski plasman'!D19)</f>
        <v>Ivica Bonino Hasan</v>
      </c>
      <c r="C22" s="294" t="str">
        <f>IF(ISNONTEXT('Sektorski plasman'!E19)=TRUE,"",'Sektorski plasman'!E19)</f>
        <v>Varaždin Varaždin</v>
      </c>
      <c r="D22" s="347">
        <f>IF(ISNUMBER('Sektorski plasman'!B19)=FALSE,"",'Sektorski plasman'!B19)</f>
        <v>475</v>
      </c>
      <c r="E22" s="284">
        <f>IF(ISNUMBER('Sektorski plasman'!C19)=FALSE,"",'Sektorski plasman'!C19)</f>
        <v>5</v>
      </c>
      <c r="F22" s="285">
        <f>IF(ISNUMBER('Sektorski plasman'!A19)=FALSE,"",'Sektorski plasman'!A19)</f>
        <v>12</v>
      </c>
    </row>
    <row r="25" ht="15.75">
      <c r="A25" s="83"/>
    </row>
    <row r="26" spans="1:7" ht="12.75">
      <c r="A26" s="271" t="s">
        <v>258</v>
      </c>
      <c r="B26" s="272"/>
      <c r="C26" s="272"/>
      <c r="D26" s="273"/>
      <c r="E26" s="272"/>
      <c r="F26" s="274"/>
      <c r="G26" s="57"/>
    </row>
    <row r="27" spans="1:6" ht="12.75">
      <c r="A27" s="275" t="s">
        <v>254</v>
      </c>
      <c r="B27" s="276" t="s">
        <v>22</v>
      </c>
      <c r="C27" s="276" t="s">
        <v>21</v>
      </c>
      <c r="D27" s="277" t="s">
        <v>255</v>
      </c>
      <c r="E27" s="278" t="s">
        <v>256</v>
      </c>
      <c r="F27" s="279" t="s">
        <v>257</v>
      </c>
    </row>
    <row r="28" spans="1:6" ht="12.75">
      <c r="A28" s="286">
        <f>IF(ISNUMBER(F28)=FALSE,"",1)</f>
        <v>1</v>
      </c>
      <c r="B28" s="295" t="str">
        <f>IF(ISNONTEXT('Sektorski plasman'!D25)=TRUE,"",'Sektorski plasman'!D25)</f>
        <v>Nenad Viboh</v>
      </c>
      <c r="C28" s="296" t="str">
        <f>IF(ISNONTEXT('Sektorski plasman'!E25)=TRUE,"",'Sektorski plasman'!E25)</f>
        <v>Korana Karlovac</v>
      </c>
      <c r="D28" s="345">
        <f>IF(ISNUMBER('Sektorski plasman'!B25)=FALSE,"",'Sektorski plasman'!B25)</f>
        <v>5000</v>
      </c>
      <c r="E28" s="287">
        <f>IF(ISNUMBER('Sektorski plasman'!C25)=FALSE,"",'Sektorski plasman'!C25)</f>
        <v>1</v>
      </c>
      <c r="F28" s="288">
        <f>IF(ISNUMBER('Sektorski plasman'!A25)=FALSE,"",'Sektorski plasman'!A25)</f>
        <v>1</v>
      </c>
    </row>
    <row r="29" spans="1:6" ht="12.75">
      <c r="A29" s="280">
        <f>IF(ISNUMBER(F29)=FALSE,"",2)</f>
        <v>2</v>
      </c>
      <c r="B29" s="297" t="str">
        <f>IF(ISNONTEXT('Sektorski plasman'!D26)=TRUE,"",'Sektorski plasman'!D26)</f>
        <v>Marijan Kumić</v>
      </c>
      <c r="C29" s="298" t="str">
        <f>IF(ISNONTEXT('Sektorski plasman'!E26)=TRUE,"",'Sektorski plasman'!E26)</f>
        <v>Jez Jasenovac</v>
      </c>
      <c r="D29" s="346">
        <f>IF(ISNUMBER('Sektorski plasman'!B26)=FALSE,"",'Sektorski plasman'!B26)</f>
        <v>3700</v>
      </c>
      <c r="E29" s="281">
        <f>IF(ISNUMBER('Sektorski plasman'!C26)=FALSE,"",'Sektorski plasman'!C26)</f>
        <v>12</v>
      </c>
      <c r="F29" s="282">
        <f>IF(ISNUMBER('Sektorski plasman'!A26)=FALSE,"",'Sektorski plasman'!A26)</f>
        <v>2</v>
      </c>
    </row>
    <row r="30" spans="1:6" ht="12.75">
      <c r="A30" s="280">
        <f>IF(ISNUMBER(F30)=FALSE,"",3)</f>
        <v>3</v>
      </c>
      <c r="B30" s="297" t="str">
        <f>IF(ISNONTEXT('Sektorski plasman'!D27)=TRUE,"",'Sektorski plasman'!D27)</f>
        <v>Goran Matijašić</v>
      </c>
      <c r="C30" s="298" t="str">
        <f>IF(ISNONTEXT('Sektorski plasman'!E27)=TRUE,"",'Sektorski plasman'!E27)</f>
        <v>Štuka Torčec</v>
      </c>
      <c r="D30" s="346">
        <f>IF(ISNUMBER('Sektorski plasman'!B27)=FALSE,"",'Sektorski plasman'!B27)</f>
        <v>2536</v>
      </c>
      <c r="E30" s="281">
        <f>IF(ISNUMBER('Sektorski plasman'!C27)=FALSE,"",'Sektorski plasman'!C27)</f>
        <v>2</v>
      </c>
      <c r="F30" s="282">
        <f>IF(ISNUMBER('Sektorski plasman'!A27)=FALSE,"",'Sektorski plasman'!A27)</f>
        <v>3</v>
      </c>
    </row>
    <row r="31" spans="1:6" ht="12.75">
      <c r="A31" s="280">
        <f>IF(ISNUMBER(F31)=FALSE,"",4)</f>
        <v>4</v>
      </c>
      <c r="B31" s="297" t="str">
        <f>IF(ISNONTEXT('Sektorski plasman'!D28)=TRUE,"",'Sektorski plasman'!D28)</f>
        <v>Martin Vrčković</v>
      </c>
      <c r="C31" s="298" t="str">
        <f>IF(ISNONTEXT('Sektorski plasman'!E28)=TRUE,"",'Sektorski plasman'!E28)</f>
        <v>Rak Rakitje</v>
      </c>
      <c r="D31" s="346">
        <f>IF(ISNUMBER('Sektorski plasman'!B28)=FALSE,"",'Sektorski plasman'!B28)</f>
        <v>2452</v>
      </c>
      <c r="E31" s="281">
        <f>IF(ISNUMBER('Sektorski plasman'!C28)=FALSE,"",'Sektorski plasman'!C28)</f>
        <v>3</v>
      </c>
      <c r="F31" s="282">
        <f>IF(ISNUMBER('Sektorski plasman'!A28)=FALSE,"",'Sektorski plasman'!A28)</f>
        <v>4</v>
      </c>
    </row>
    <row r="32" spans="1:6" ht="12.75">
      <c r="A32" s="280">
        <f>IF(ISNUMBER(F32)=FALSE,"",5)</f>
        <v>5</v>
      </c>
      <c r="B32" s="297" t="str">
        <f>IF(ISNONTEXT('Sektorski plasman'!D29)=TRUE,"",'Sektorski plasman'!D29)</f>
        <v>Vladimir Šuker</v>
      </c>
      <c r="C32" s="298" t="str">
        <f>IF(ISNONTEXT('Sektorski plasman'!E29)=TRUE,"",'Sektorski plasman'!E29)</f>
        <v>Bjelovar Bjelovar</v>
      </c>
      <c r="D32" s="346">
        <f>IF(ISNUMBER('Sektorski plasman'!B29)=FALSE,"",'Sektorski plasman'!B29)</f>
        <v>2320</v>
      </c>
      <c r="E32" s="281">
        <f>IF(ISNUMBER('Sektorski plasman'!C29)=FALSE,"",'Sektorski plasman'!C29)</f>
        <v>4</v>
      </c>
      <c r="F32" s="282">
        <f>IF(ISNUMBER('Sektorski plasman'!A29)=FALSE,"",'Sektorski plasman'!A29)</f>
        <v>5</v>
      </c>
    </row>
    <row r="33" spans="1:6" ht="12.75">
      <c r="A33" s="280">
        <f>IF(ISNUMBER(F33)=FALSE,"",6)</f>
        <v>6</v>
      </c>
      <c r="B33" s="297" t="str">
        <f>IF(ISNONTEXT('Sektorski plasman'!D30)=TRUE,"",'Sektorski plasman'!D30)</f>
        <v>Mario Akmačić</v>
      </c>
      <c r="C33" s="298" t="str">
        <f>IF(ISNONTEXT('Sektorski plasman'!E30)=TRUE,"",'Sektorski plasman'!E30)</f>
        <v>Klen N.Gradiška</v>
      </c>
      <c r="D33" s="346">
        <f>IF(ISNUMBER('Sektorski plasman'!B30)=FALSE,"",'Sektorski plasman'!B30)</f>
        <v>1953</v>
      </c>
      <c r="E33" s="281">
        <f>IF(ISNUMBER('Sektorski plasman'!C30)=FALSE,"",'Sektorski plasman'!C30)</f>
        <v>8</v>
      </c>
      <c r="F33" s="282">
        <f>IF(ISNUMBER('Sektorski plasman'!A30)=FALSE,"",'Sektorski plasman'!A30)</f>
        <v>6</v>
      </c>
    </row>
    <row r="34" spans="1:6" ht="12.75">
      <c r="A34" s="280">
        <f>IF(ISNUMBER(F34)=FALSE,"",7)</f>
        <v>7</v>
      </c>
      <c r="B34" s="297" t="str">
        <f>IF(ISNONTEXT('Sektorski plasman'!D31)=TRUE,"",'Sektorski plasman'!D31)</f>
        <v>Željko Raženj</v>
      </c>
      <c r="C34" s="298" t="str">
        <f>IF(ISNONTEXT('Sektorski plasman'!E31)=TRUE,"",'Sektorski plasman'!E31)</f>
        <v>Trnje-ŠR Zagreb</v>
      </c>
      <c r="D34" s="346">
        <f>IF(ISNUMBER('Sektorski plasman'!B31)=FALSE,"",'Sektorski plasman'!B31)</f>
        <v>1895</v>
      </c>
      <c r="E34" s="281">
        <f>IF(ISNUMBER('Sektorski plasman'!C31)=FALSE,"",'Sektorski plasman'!C31)</f>
        <v>7</v>
      </c>
      <c r="F34" s="282">
        <f>IF(ISNUMBER('Sektorski plasman'!A31)=FALSE,"",'Sektorski plasman'!A31)</f>
        <v>7</v>
      </c>
    </row>
    <row r="35" spans="1:6" ht="12.75">
      <c r="A35" s="280">
        <f>IF(ISNUMBER(F35)=FALSE,"",8)</f>
        <v>8</v>
      </c>
      <c r="B35" s="297" t="str">
        <f>IF(ISNONTEXT('Sektorski plasman'!D32)=TRUE,"",'Sektorski plasman'!D32)</f>
        <v>Tomislav Duković</v>
      </c>
      <c r="C35" s="298" t="str">
        <f>IF(ISNONTEXT('Sektorski plasman'!E32)=TRUE,"",'Sektorski plasman'!E32)</f>
        <v>Ilova Garešnica</v>
      </c>
      <c r="D35" s="346">
        <f>IF(ISNUMBER('Sektorski plasman'!B32)=FALSE,"",'Sektorski plasman'!B32)</f>
        <v>1765</v>
      </c>
      <c r="E35" s="281">
        <f>IF(ISNUMBER('Sektorski plasman'!C32)=FALSE,"",'Sektorski plasman'!C32)</f>
        <v>11</v>
      </c>
      <c r="F35" s="282">
        <f>IF(ISNUMBER('Sektorski plasman'!A32)=FALSE,"",'Sektorski plasman'!A32)</f>
        <v>8.5</v>
      </c>
    </row>
    <row r="36" spans="1:6" ht="12.75">
      <c r="A36" s="280">
        <f>IF(ISNUMBER(F36)=FALSE,"",9)</f>
        <v>9</v>
      </c>
      <c r="B36" s="297" t="str">
        <f>IF(ISNONTEXT('Sektorski plasman'!D33)=TRUE,"",'Sektorski plasman'!D33)</f>
        <v>Anđelo Orač</v>
      </c>
      <c r="C36" s="298" t="str">
        <f>IF(ISNONTEXT('Sektorski plasman'!E33)=TRUE,"",'Sektorski plasman'!E33)</f>
        <v>TPK Zagreb</v>
      </c>
      <c r="D36" s="346">
        <f>IF(ISNUMBER('Sektorski plasman'!B33)=FALSE,"",'Sektorski plasman'!B33)</f>
        <v>1765</v>
      </c>
      <c r="E36" s="281">
        <f>IF(ISNUMBER('Sektorski plasman'!C33)=FALSE,"",'Sektorski plasman'!C33)</f>
        <v>10</v>
      </c>
      <c r="F36" s="282">
        <f>IF(ISNUMBER('Sektorski plasman'!A33)=FALSE,"",'Sektorski plasman'!A33)</f>
        <v>8.5</v>
      </c>
    </row>
    <row r="37" spans="1:6" ht="12.75">
      <c r="A37" s="280">
        <f>IF(ISNUMBER(F37)=FALSE,"",10)</f>
        <v>10</v>
      </c>
      <c r="B37" s="297" t="str">
        <f>IF(ISNONTEXT('Sektorski plasman'!D34)=TRUE,"",'Sektorski plasman'!D34)</f>
        <v>Smail Habibović</v>
      </c>
      <c r="C37" s="298" t="str">
        <f>IF(ISNONTEXT('Sektorski plasman'!E34)=TRUE,"",'Sektorski plasman'!E34)</f>
        <v>Bjelka GME Sunja</v>
      </c>
      <c r="D37" s="346">
        <f>IF(ISNUMBER('Sektorski plasman'!B34)=FALSE,"",'Sektorski plasman'!B34)</f>
        <v>1119</v>
      </c>
      <c r="E37" s="281">
        <f>IF(ISNUMBER('Sektorski plasman'!C34)=FALSE,"",'Sektorski plasman'!C34)</f>
        <v>9</v>
      </c>
      <c r="F37" s="282">
        <f>IF(ISNUMBER('Sektorski plasman'!A34)=FALSE,"",'Sektorski plasman'!A34)</f>
        <v>10.5</v>
      </c>
    </row>
    <row r="38" spans="1:6" ht="12.75">
      <c r="A38" s="280">
        <f>IF(ISNUMBER(F38)=FALSE,"",11)</f>
        <v>11</v>
      </c>
      <c r="B38" s="297" t="str">
        <f>IF(ISNONTEXT('Sektorski plasman'!D35)=TRUE,"",'Sektorski plasman'!D35)</f>
        <v>Zlatko Kračun</v>
      </c>
      <c r="C38" s="298" t="str">
        <f>IF(ISNONTEXT('Sektorski plasman'!E35)=TRUE,"",'Sektorski plasman'!E35)</f>
        <v>Azzuro Varaždin</v>
      </c>
      <c r="D38" s="346">
        <f>IF(ISNUMBER('Sektorski plasman'!B35)=FALSE,"",'Sektorski plasman'!B35)</f>
        <v>1119</v>
      </c>
      <c r="E38" s="281">
        <f>IF(ISNUMBER('Sektorski plasman'!C35)=FALSE,"",'Sektorski plasman'!C35)</f>
        <v>6</v>
      </c>
      <c r="F38" s="282">
        <f>IF(ISNUMBER('Sektorski plasman'!A35)=FALSE,"",'Sektorski plasman'!A35)</f>
        <v>10.5</v>
      </c>
    </row>
    <row r="39" spans="1:6" ht="12.75">
      <c r="A39" s="283">
        <f>IF(ISNUMBER(F39)=FALSE,"",12)</f>
        <v>12</v>
      </c>
      <c r="B39" s="293" t="str">
        <f>IF(ISNONTEXT('Sektorski plasman'!D36)=TRUE,"",'Sektorski plasman'!D36)</f>
        <v>Tihomir Hunjak</v>
      </c>
      <c r="C39" s="294" t="str">
        <f>IF(ISNONTEXT('Sektorski plasman'!E36)=TRUE,"",'Sektorski plasman'!E36)</f>
        <v>Varaždin Varaždin</v>
      </c>
      <c r="D39" s="347">
        <f>IF(ISNUMBER('Sektorski plasman'!B36)=FALSE,"",'Sektorski plasman'!B36)</f>
        <v>1004</v>
      </c>
      <c r="E39" s="284">
        <f>IF(ISNUMBER('Sektorski plasman'!C36)=FALSE,"",'Sektorski plasman'!C36)</f>
        <v>5</v>
      </c>
      <c r="F39" s="285">
        <f>IF(ISNUMBER('Sektorski plasman'!A36)=FALSE,"",'Sektorski plasman'!A36)</f>
        <v>12</v>
      </c>
    </row>
    <row r="42" ht="15.75">
      <c r="A42" s="83"/>
    </row>
    <row r="43" spans="1:7" ht="12.75">
      <c r="A43" s="271" t="s">
        <v>259</v>
      </c>
      <c r="B43" s="272"/>
      <c r="C43" s="272"/>
      <c r="D43" s="273"/>
      <c r="E43" s="272"/>
      <c r="F43" s="274"/>
      <c r="G43" s="57"/>
    </row>
    <row r="44" spans="1:6" ht="12.75">
      <c r="A44" s="275" t="s">
        <v>254</v>
      </c>
      <c r="B44" s="276" t="s">
        <v>22</v>
      </c>
      <c r="C44" s="276" t="s">
        <v>21</v>
      </c>
      <c r="D44" s="277" t="s">
        <v>255</v>
      </c>
      <c r="E44" s="278" t="s">
        <v>256</v>
      </c>
      <c r="F44" s="279" t="s">
        <v>257</v>
      </c>
    </row>
    <row r="45" spans="1:6" ht="12.75">
      <c r="A45" s="286">
        <f>IF(ISNUMBER(F45)=FALSE,"",1)</f>
        <v>1</v>
      </c>
      <c r="B45" s="295" t="str">
        <f>IF(ISNONTEXT('Sektorski plasman'!D42)=TRUE,"",'Sektorski plasman'!D42)</f>
        <v>Hrvoje Kovač</v>
      </c>
      <c r="C45" s="296" t="str">
        <f>IF(ISNONTEXT('Sektorski plasman'!E42)=TRUE,"",'Sektorski plasman'!E42)</f>
        <v>Korana Karlovac</v>
      </c>
      <c r="D45" s="345">
        <f>IF(ISNUMBER('Sektorski plasman'!B42)=FALSE,"",'Sektorski plasman'!B42)</f>
        <v>5000</v>
      </c>
      <c r="E45" s="287">
        <f>IF(ISNUMBER('Sektorski plasman'!C42)=FALSE,"",'Sektorski plasman'!C42)</f>
        <v>1</v>
      </c>
      <c r="F45" s="288">
        <f>IF(ISNUMBER('Sektorski plasman'!A42)=FALSE,"",'Sektorski plasman'!A42)</f>
        <v>1</v>
      </c>
    </row>
    <row r="46" spans="1:6" ht="12.75">
      <c r="A46" s="280">
        <f>IF(ISNUMBER(F46)=FALSE,"",2)</f>
        <v>2</v>
      </c>
      <c r="B46" s="297" t="str">
        <f>IF(ISNONTEXT('Sektorski plasman'!D43)=TRUE,"",'Sektorski plasman'!D43)</f>
        <v>Stjepan Gorički</v>
      </c>
      <c r="C46" s="298" t="str">
        <f>IF(ISNONTEXT('Sektorski plasman'!E43)=TRUE,"",'Sektorski plasman'!E43)</f>
        <v>Rak Rakitje</v>
      </c>
      <c r="D46" s="346">
        <f>IF(ISNUMBER('Sektorski plasman'!B43)=FALSE,"",'Sektorski plasman'!B43)</f>
        <v>4740</v>
      </c>
      <c r="E46" s="281">
        <f>IF(ISNUMBER('Sektorski plasman'!C43)=FALSE,"",'Sektorski plasman'!C43)</f>
        <v>3</v>
      </c>
      <c r="F46" s="282">
        <f>IF(ISNUMBER('Sektorski plasman'!A43)=FALSE,"",'Sektorski plasman'!A43)</f>
        <v>2</v>
      </c>
    </row>
    <row r="47" spans="1:6" ht="12.75">
      <c r="A47" s="280">
        <f>IF(ISNUMBER(F47)=FALSE,"",3)</f>
        <v>3</v>
      </c>
      <c r="B47" s="297" t="str">
        <f>IF(ISNONTEXT('Sektorski plasman'!D44)=TRUE,"",'Sektorski plasman'!D44)</f>
        <v>Siniša Finek</v>
      </c>
      <c r="C47" s="298" t="str">
        <f>IF(ISNONTEXT('Sektorski plasman'!E44)=TRUE,"",'Sektorski plasman'!E44)</f>
        <v>Jez Jasenovac</v>
      </c>
      <c r="D47" s="346">
        <f>IF(ISNUMBER('Sektorski plasman'!B44)=FALSE,"",'Sektorski plasman'!B44)</f>
        <v>4500</v>
      </c>
      <c r="E47" s="281">
        <f>IF(ISNUMBER('Sektorski plasman'!C44)=FALSE,"",'Sektorski plasman'!C44)</f>
        <v>12</v>
      </c>
      <c r="F47" s="282">
        <f>IF(ISNUMBER('Sektorski plasman'!A44)=FALSE,"",'Sektorski plasman'!A44)</f>
        <v>3</v>
      </c>
    </row>
    <row r="48" spans="1:6" ht="12.75">
      <c r="A48" s="280">
        <f>IF(ISNUMBER(F48)=FALSE,"",4)</f>
        <v>4</v>
      </c>
      <c r="B48" s="297" t="str">
        <f>IF(ISNONTEXT('Sektorski plasman'!D45)=TRUE,"",'Sektorski plasman'!D45)</f>
        <v>Ljubo Matulin</v>
      </c>
      <c r="C48" s="298" t="str">
        <f>IF(ISNONTEXT('Sektorski plasman'!E45)=TRUE,"",'Sektorski plasman'!E45)</f>
        <v>Azzuro Varaždin</v>
      </c>
      <c r="D48" s="346">
        <f>IF(ISNUMBER('Sektorski plasman'!B45)=FALSE,"",'Sektorski plasman'!B45)</f>
        <v>2005</v>
      </c>
      <c r="E48" s="281">
        <f>IF(ISNUMBER('Sektorski plasman'!C45)=FALSE,"",'Sektorski plasman'!C45)</f>
        <v>6</v>
      </c>
      <c r="F48" s="282">
        <f>IF(ISNUMBER('Sektorski plasman'!A45)=FALSE,"",'Sektorski plasman'!A45)</f>
        <v>4</v>
      </c>
    </row>
    <row r="49" spans="1:6" ht="12.75">
      <c r="A49" s="280">
        <f>IF(ISNUMBER(F49)=FALSE,"",5)</f>
        <v>5</v>
      </c>
      <c r="B49" s="297" t="str">
        <f>IF(ISNONTEXT('Sektorski plasman'!D46)=TRUE,"",'Sektorski plasman'!D46)</f>
        <v>Ivan Fehir</v>
      </c>
      <c r="C49" s="298" t="str">
        <f>IF(ISNONTEXT('Sektorski plasman'!E46)=TRUE,"",'Sektorski plasman'!E46)</f>
        <v>Trnje-ŠR Zagreb</v>
      </c>
      <c r="D49" s="346">
        <f>IF(ISNUMBER('Sektorski plasman'!B46)=FALSE,"",'Sektorski plasman'!B46)</f>
        <v>1790</v>
      </c>
      <c r="E49" s="281">
        <f>IF(ISNUMBER('Sektorski plasman'!C46)=FALSE,"",'Sektorski plasman'!C46)</f>
        <v>7</v>
      </c>
      <c r="F49" s="282">
        <f>IF(ISNUMBER('Sektorski plasman'!A46)=FALSE,"",'Sektorski plasman'!A46)</f>
        <v>5</v>
      </c>
    </row>
    <row r="50" spans="1:6" ht="12.75">
      <c r="A50" s="280">
        <f>IF(ISNUMBER(F50)=FALSE,"",6)</f>
        <v>6</v>
      </c>
      <c r="B50" s="297" t="str">
        <f>IF(ISNONTEXT('Sektorski plasman'!D47)=TRUE,"",'Sektorski plasman'!D47)</f>
        <v>Dražen Červeni</v>
      </c>
      <c r="C50" s="298" t="str">
        <f>IF(ISNONTEXT('Sektorski plasman'!E47)=TRUE,"",'Sektorski plasman'!E47)</f>
        <v>Ilova Garešnica</v>
      </c>
      <c r="D50" s="346">
        <f>IF(ISNUMBER('Sektorski plasman'!B47)=FALSE,"",'Sektorski plasman'!B47)</f>
        <v>1765</v>
      </c>
      <c r="E50" s="281">
        <f>IF(ISNUMBER('Sektorski plasman'!C47)=FALSE,"",'Sektorski plasman'!C47)</f>
        <v>11</v>
      </c>
      <c r="F50" s="282">
        <f>IF(ISNUMBER('Sektorski plasman'!A47)=FALSE,"",'Sektorski plasman'!A47)</f>
        <v>6.5</v>
      </c>
    </row>
    <row r="51" spans="1:6" ht="12.75">
      <c r="A51" s="280">
        <f>IF(ISNUMBER(F51)=FALSE,"",7)</f>
        <v>7</v>
      </c>
      <c r="B51" s="297" t="str">
        <f>IF(ISNONTEXT('Sektorski plasman'!D48)=TRUE,"",'Sektorski plasman'!D48)</f>
        <v>Zlatko Poparić</v>
      </c>
      <c r="C51" s="298" t="str">
        <f>IF(ISNONTEXT('Sektorski plasman'!E48)=TRUE,"",'Sektorski plasman'!E48)</f>
        <v>TPK Zagreb</v>
      </c>
      <c r="D51" s="346">
        <f>IF(ISNUMBER('Sektorski plasman'!B48)=FALSE,"",'Sektorski plasman'!B48)</f>
        <v>1765</v>
      </c>
      <c r="E51" s="281">
        <f>IF(ISNUMBER('Sektorski plasman'!C48)=FALSE,"",'Sektorski plasman'!C48)</f>
        <v>10</v>
      </c>
      <c r="F51" s="282">
        <f>IF(ISNUMBER('Sektorski plasman'!A48)=FALSE,"",'Sektorski plasman'!A48)</f>
        <v>6.5</v>
      </c>
    </row>
    <row r="52" spans="1:6" ht="12.75">
      <c r="A52" s="280">
        <f>IF(ISNUMBER(F52)=FALSE,"",8)</f>
        <v>8</v>
      </c>
      <c r="B52" s="297" t="str">
        <f>IF(ISNONTEXT('Sektorski plasman'!D49)=TRUE,"",'Sektorski plasman'!D49)</f>
        <v>Danijel Picer</v>
      </c>
      <c r="C52" s="298" t="str">
        <f>IF(ISNONTEXT('Sektorski plasman'!E49)=TRUE,"",'Sektorski plasman'!E49)</f>
        <v>Štuka Torčec</v>
      </c>
      <c r="D52" s="346">
        <f>IF(ISNUMBER('Sektorski plasman'!B49)=FALSE,"",'Sektorski plasman'!B49)</f>
        <v>1354</v>
      </c>
      <c r="E52" s="281">
        <f>IF(ISNUMBER('Sektorski plasman'!C49)=FALSE,"",'Sektorski plasman'!C49)</f>
        <v>2</v>
      </c>
      <c r="F52" s="282">
        <f>IF(ISNUMBER('Sektorski plasman'!A49)=FALSE,"",'Sektorski plasman'!A49)</f>
        <v>8</v>
      </c>
    </row>
    <row r="53" spans="1:6" ht="12.75">
      <c r="A53" s="280">
        <f>IF(ISNUMBER(F53)=FALSE,"",9)</f>
        <v>9</v>
      </c>
      <c r="B53" s="297" t="str">
        <f>IF(ISNONTEXT('Sektorski plasman'!D50)=TRUE,"",'Sektorski plasman'!D50)</f>
        <v>Petar Petrović</v>
      </c>
      <c r="C53" s="298" t="str">
        <f>IF(ISNONTEXT('Sektorski plasman'!E50)=TRUE,"",'Sektorski plasman'!E50)</f>
        <v>Klen N.Gradiška</v>
      </c>
      <c r="D53" s="346">
        <f>IF(ISNUMBER('Sektorski plasman'!B50)=FALSE,"",'Sektorski plasman'!B50)</f>
        <v>1325</v>
      </c>
      <c r="E53" s="281">
        <f>IF(ISNUMBER('Sektorski plasman'!C50)=FALSE,"",'Sektorski plasman'!C50)</f>
        <v>8</v>
      </c>
      <c r="F53" s="282">
        <f>IF(ISNUMBER('Sektorski plasman'!A50)=FALSE,"",'Sektorski plasman'!A50)</f>
        <v>9</v>
      </c>
    </row>
    <row r="54" spans="1:6" ht="12.75">
      <c r="A54" s="280">
        <f>IF(ISNUMBER(F54)=FALSE,"",10)</f>
        <v>10</v>
      </c>
      <c r="B54" s="297" t="str">
        <f>IF(ISNONTEXT('Sektorski plasman'!D51)=TRUE,"",'Sektorski plasman'!D51)</f>
        <v>Marijan Lisjak</v>
      </c>
      <c r="C54" s="298" t="str">
        <f>IF(ISNONTEXT('Sektorski plasman'!E51)=TRUE,"",'Sektorski plasman'!E51)</f>
        <v>Varaždin Varaždin</v>
      </c>
      <c r="D54" s="346">
        <f>IF(ISNUMBER('Sektorski plasman'!B51)=FALSE,"",'Sektorski plasman'!B51)</f>
        <v>930</v>
      </c>
      <c r="E54" s="281">
        <f>IF(ISNUMBER('Sektorski plasman'!C51)=FALSE,"",'Sektorski plasman'!C51)</f>
        <v>5</v>
      </c>
      <c r="F54" s="282">
        <f>IF(ISNUMBER('Sektorski plasman'!A51)=FALSE,"",'Sektorski plasman'!A51)</f>
        <v>10</v>
      </c>
    </row>
    <row r="55" spans="1:6" ht="12.75">
      <c r="A55" s="280">
        <f>IF(ISNUMBER(F55)=FALSE,"",11)</f>
        <v>11</v>
      </c>
      <c r="B55" s="297" t="str">
        <f>IF(ISNONTEXT('Sektorski plasman'!D52)=TRUE,"",'Sektorski plasman'!D52)</f>
        <v>Ivo Begović</v>
      </c>
      <c r="C55" s="298" t="str">
        <f>IF(ISNONTEXT('Sektorski plasman'!E52)=TRUE,"",'Sektorski plasman'!E52)</f>
        <v>Bjelovar Bjelovar</v>
      </c>
      <c r="D55" s="346">
        <f>IF(ISNUMBER('Sektorski plasman'!B52)=FALSE,"",'Sektorski plasman'!B52)</f>
        <v>670</v>
      </c>
      <c r="E55" s="281">
        <f>IF(ISNUMBER('Sektorski plasman'!C52)=FALSE,"",'Sektorski plasman'!C52)</f>
        <v>4</v>
      </c>
      <c r="F55" s="282">
        <f>IF(ISNUMBER('Sektorski plasman'!A52)=FALSE,"",'Sektorski plasman'!A52)</f>
        <v>11</v>
      </c>
    </row>
    <row r="56" spans="1:6" ht="12.75">
      <c r="A56" s="283">
        <f>IF(ISNUMBER(F56)=FALSE,"",12)</f>
        <v>12</v>
      </c>
      <c r="B56" s="293" t="str">
        <f>IF(ISNONTEXT('Sektorski plasman'!D53)=TRUE,"",'Sektorski plasman'!D53)</f>
        <v>Dejan Vondrak</v>
      </c>
      <c r="C56" s="294" t="str">
        <f>IF(ISNONTEXT('Sektorski plasman'!E53)=TRUE,"",'Sektorski plasman'!E53)</f>
        <v>Bjelka GME Sunja</v>
      </c>
      <c r="D56" s="347">
        <f>IF(ISNUMBER('Sektorski plasman'!B53)=FALSE,"",'Sektorski plasman'!B53)</f>
        <v>608</v>
      </c>
      <c r="E56" s="284">
        <f>IF(ISNUMBER('Sektorski plasman'!C53)=FALSE,"",'Sektorski plasman'!C53)</f>
        <v>9</v>
      </c>
      <c r="F56" s="285">
        <f>IF(ISNUMBER('Sektorski plasman'!A53)=FALSE,"",'Sektorski plasman'!A53)</f>
        <v>12</v>
      </c>
    </row>
    <row r="58" spans="1:7" ht="12.75">
      <c r="A58" s="271" t="s">
        <v>260</v>
      </c>
      <c r="B58" s="272"/>
      <c r="C58" s="272"/>
      <c r="D58" s="273"/>
      <c r="E58" s="272"/>
      <c r="F58" s="274"/>
      <c r="G58" s="57"/>
    </row>
    <row r="59" spans="1:6" ht="12.75">
      <c r="A59" s="275" t="s">
        <v>254</v>
      </c>
      <c r="B59" s="276" t="s">
        <v>22</v>
      </c>
      <c r="C59" s="276" t="s">
        <v>21</v>
      </c>
      <c r="D59" s="277" t="s">
        <v>255</v>
      </c>
      <c r="E59" s="278" t="s">
        <v>256</v>
      </c>
      <c r="F59" s="279" t="s">
        <v>257</v>
      </c>
    </row>
    <row r="60" spans="1:6" ht="12.75">
      <c r="A60" s="286">
        <f>IF(ISNUMBER(F60)=FALSE,"",1)</f>
        <v>1</v>
      </c>
      <c r="B60" s="295" t="str">
        <f>IF(ISNONTEXT('Sektorski plasman'!D61)=TRUE,"",'Sektorski plasman'!D61)</f>
        <v>Damir Jauševac</v>
      </c>
      <c r="C60" s="296" t="str">
        <f>IF(ISNONTEXT('Sektorski plasman'!E61)=TRUE,"",'Sektorski plasman'!E61)</f>
        <v>Korana Karlovac</v>
      </c>
      <c r="D60" s="345">
        <f>IF(ISNUMBER('Sektorski plasman'!B61)=FALSE,"",'Sektorski plasman'!B61)</f>
        <v>5000</v>
      </c>
      <c r="E60" s="287">
        <f>IF(ISNUMBER('Sektorski plasman'!C61)=FALSE,"",'Sektorski plasman'!C61)</f>
        <v>1</v>
      </c>
      <c r="F60" s="288">
        <f>IF(ISNUMBER('Sektorski plasman'!A61)=FALSE,"",'Sektorski plasman'!A61)</f>
        <v>1</v>
      </c>
    </row>
    <row r="61" spans="1:6" ht="12.75">
      <c r="A61" s="280">
        <f>IF(ISNUMBER(F61)=FALSE,"",2)</f>
        <v>2</v>
      </c>
      <c r="B61" s="297" t="str">
        <f>IF(ISNONTEXT('Sektorski plasman'!D62)=TRUE,"",'Sektorski plasman'!D62)</f>
        <v>Damir Škorić</v>
      </c>
      <c r="C61" s="298" t="str">
        <f>IF(ISNONTEXT('Sektorski plasman'!E62)=TRUE,"",'Sektorski plasman'!E62)</f>
        <v>Varaždin Varaždin</v>
      </c>
      <c r="D61" s="346">
        <f>IF(ISNUMBER('Sektorski plasman'!B62)=FALSE,"",'Sektorski plasman'!B62)</f>
        <v>3700</v>
      </c>
      <c r="E61" s="281">
        <f>IF(ISNUMBER('Sektorski plasman'!C62)=FALSE,"",'Sektorski plasman'!C62)</f>
        <v>5</v>
      </c>
      <c r="F61" s="282">
        <f>IF(ISNUMBER('Sektorski plasman'!A62)=FALSE,"",'Sektorski plasman'!A62)</f>
        <v>2</v>
      </c>
    </row>
    <row r="62" spans="1:6" ht="12.75">
      <c r="A62" s="280">
        <f>IF(ISNUMBER(F62)=FALSE,"",3)</f>
        <v>3</v>
      </c>
      <c r="B62" s="297" t="str">
        <f>IF(ISNONTEXT('Sektorski plasman'!D63)=TRUE,"",'Sektorski plasman'!D63)</f>
        <v>Mario Akmačić</v>
      </c>
      <c r="C62" s="298" t="str">
        <f>IF(ISNONTEXT('Sektorski plasman'!E63)=TRUE,"",'Sektorski plasman'!E63)</f>
        <v>Jez Jasenovac</v>
      </c>
      <c r="D62" s="346">
        <f>IF(ISNUMBER('Sektorski plasman'!B63)=FALSE,"",'Sektorski plasman'!B63)</f>
        <v>2970</v>
      </c>
      <c r="E62" s="281">
        <f>IF(ISNUMBER('Sektorski plasman'!C63)=FALSE,"",'Sektorski plasman'!C63)</f>
        <v>12</v>
      </c>
      <c r="F62" s="282">
        <f>IF(ISNUMBER('Sektorski plasman'!A63)=FALSE,"",'Sektorski plasman'!A63)</f>
        <v>3</v>
      </c>
    </row>
    <row r="63" spans="1:6" ht="12.75">
      <c r="A63" s="280">
        <f>IF(ISNUMBER(F63)=FALSE,"",4)</f>
        <v>4</v>
      </c>
      <c r="B63" s="297" t="str">
        <f>IF(ISNONTEXT('Sektorski plasman'!D64)=TRUE,"",'Sektorski plasman'!D64)</f>
        <v>Zdravko Vrbanek</v>
      </c>
      <c r="C63" s="298" t="str">
        <f>IF(ISNONTEXT('Sektorski plasman'!E64)=TRUE,"",'Sektorski plasman'!E64)</f>
        <v>Bjelka GME Sunja</v>
      </c>
      <c r="D63" s="346">
        <f>IF(ISNUMBER('Sektorski plasman'!B64)=FALSE,"",'Sektorski plasman'!B64)</f>
        <v>1790</v>
      </c>
      <c r="E63" s="281">
        <f>IF(ISNUMBER('Sektorski plasman'!C64)=FALSE,"",'Sektorski plasman'!C64)</f>
        <v>9</v>
      </c>
      <c r="F63" s="282">
        <f>IF(ISNUMBER('Sektorski plasman'!A64)=FALSE,"",'Sektorski plasman'!A64)</f>
        <v>4</v>
      </c>
    </row>
    <row r="64" spans="1:6" ht="12.75">
      <c r="A64" s="280">
        <f>IF(ISNUMBER(F64)=FALSE,"",5)</f>
        <v>5</v>
      </c>
      <c r="B64" s="297" t="str">
        <f>IF(ISNONTEXT('Sektorski plasman'!D65)=TRUE,"",'Sektorski plasman'!D65)</f>
        <v>Bengez Dražen</v>
      </c>
      <c r="C64" s="298" t="str">
        <f>IF(ISNONTEXT('Sektorski plasman'!E65)=TRUE,"",'Sektorski plasman'!E65)</f>
        <v>Ilova Garešnica</v>
      </c>
      <c r="D64" s="346">
        <f>IF(ISNUMBER('Sektorski plasman'!B65)=FALSE,"",'Sektorski plasman'!B65)</f>
        <v>1765</v>
      </c>
      <c r="E64" s="281">
        <f>IF(ISNUMBER('Sektorski plasman'!C65)=FALSE,"",'Sektorski plasman'!C65)</f>
        <v>11</v>
      </c>
      <c r="F64" s="282">
        <f>IF(ISNUMBER('Sektorski plasman'!A65)=FALSE,"",'Sektorski plasman'!A65)</f>
        <v>5.5</v>
      </c>
    </row>
    <row r="65" spans="1:6" ht="12.75">
      <c r="A65" s="280">
        <f>IF(ISNUMBER(F65)=FALSE,"",6)</f>
        <v>6</v>
      </c>
      <c r="B65" s="297" t="str">
        <f>IF(ISNONTEXT('Sektorski plasman'!D66)=TRUE,"",'Sektorski plasman'!D66)</f>
        <v>Zlatko Kraljević</v>
      </c>
      <c r="C65" s="298" t="str">
        <f>IF(ISNONTEXT('Sektorski plasman'!E66)=TRUE,"",'Sektorski plasman'!E66)</f>
        <v>TPK Zagreb</v>
      </c>
      <c r="D65" s="346">
        <f>IF(ISNUMBER('Sektorski plasman'!B66)=FALSE,"",'Sektorski plasman'!B66)</f>
        <v>1765</v>
      </c>
      <c r="E65" s="281">
        <f>IF(ISNUMBER('Sektorski plasman'!C66)=FALSE,"",'Sektorski plasman'!C66)</f>
        <v>10</v>
      </c>
      <c r="F65" s="282">
        <f>IF(ISNUMBER('Sektorski plasman'!A66)=FALSE,"",'Sektorski plasman'!A66)</f>
        <v>5.5</v>
      </c>
    </row>
    <row r="66" spans="1:6" ht="12.75">
      <c r="A66" s="280">
        <f>IF(ISNUMBER(F66)=FALSE,"",7)</f>
        <v>7</v>
      </c>
      <c r="B66" s="297" t="str">
        <f>IF(ISNONTEXT('Sektorski plasman'!D67)=TRUE,"",'Sektorski plasman'!D67)</f>
        <v>Tihomir Vukić</v>
      </c>
      <c r="C66" s="298" t="str">
        <f>IF(ISNONTEXT('Sektorski plasman'!E67)=TRUE,"",'Sektorski plasman'!E67)</f>
        <v>Trnje-ŠR Zagreb</v>
      </c>
      <c r="D66" s="346">
        <f>IF(ISNUMBER('Sektorski plasman'!B67)=FALSE,"",'Sektorski plasman'!B67)</f>
        <v>1498</v>
      </c>
      <c r="E66" s="281">
        <f>IF(ISNUMBER('Sektorski plasman'!C67)=FALSE,"",'Sektorski plasman'!C67)</f>
        <v>7</v>
      </c>
      <c r="F66" s="282">
        <f>IF(ISNUMBER('Sektorski plasman'!A67)=FALSE,"",'Sektorski plasman'!A67)</f>
        <v>7</v>
      </c>
    </row>
    <row r="67" spans="1:6" ht="12.75">
      <c r="A67" s="280">
        <f>IF(ISNUMBER(F67)=FALSE,"",8)</f>
        <v>8</v>
      </c>
      <c r="B67" s="297" t="str">
        <f>IF(ISNONTEXT('Sektorski plasman'!D68)=TRUE,"",'Sektorski plasman'!D68)</f>
        <v>Mensur Rošić</v>
      </c>
      <c r="C67" s="298" t="str">
        <f>IF(ISNONTEXT('Sektorski plasman'!E68)=TRUE,"",'Sektorski plasman'!E68)</f>
        <v>Azzuro Varaždin</v>
      </c>
      <c r="D67" s="346">
        <f>IF(ISNUMBER('Sektorski plasman'!B68)=FALSE,"",'Sektorski plasman'!B68)</f>
        <v>1354</v>
      </c>
      <c r="E67" s="281">
        <f>IF(ISNUMBER('Sektorski plasman'!C68)=FALSE,"",'Sektorski plasman'!C68)</f>
        <v>6</v>
      </c>
      <c r="F67" s="282">
        <f>IF(ISNUMBER('Sektorski plasman'!A68)=FALSE,"",'Sektorski plasman'!A68)</f>
        <v>8</v>
      </c>
    </row>
    <row r="68" spans="1:6" ht="12.75">
      <c r="A68" s="280">
        <f>IF(ISNUMBER(F68)=FALSE,"",9)</f>
        <v>9</v>
      </c>
      <c r="B68" s="297" t="str">
        <f>IF(ISNONTEXT('Sektorski plasman'!D69)=TRUE,"",'Sektorski plasman'!D69)</f>
        <v>Marijan Jurić</v>
      </c>
      <c r="C68" s="298" t="str">
        <f>IF(ISNONTEXT('Sektorski plasman'!E69)=TRUE,"",'Sektorski plasman'!E69)</f>
        <v>Bjelovar Bjelovar</v>
      </c>
      <c r="D68" s="346">
        <f>IF(ISNUMBER('Sektorski plasman'!B69)=FALSE,"",'Sektorski plasman'!B69)</f>
        <v>1325</v>
      </c>
      <c r="E68" s="281">
        <f>IF(ISNUMBER('Sektorski plasman'!C69)=FALSE,"",'Sektorski plasman'!C69)</f>
        <v>4</v>
      </c>
      <c r="F68" s="282">
        <f>IF(ISNUMBER('Sektorski plasman'!A69)=FALSE,"",'Sektorski plasman'!A69)</f>
        <v>9</v>
      </c>
    </row>
    <row r="69" spans="1:6" ht="12.75">
      <c r="A69" s="280">
        <f>IF(ISNUMBER(F69)=FALSE,"",10)</f>
        <v>10</v>
      </c>
      <c r="B69" s="297" t="str">
        <f>IF(ISNONTEXT('Sektorski plasman'!D70)=TRUE,"",'Sektorski plasman'!D70)</f>
        <v>Zlatko Novačić</v>
      </c>
      <c r="C69" s="298" t="str">
        <f>IF(ISNONTEXT('Sektorski plasman'!E70)=TRUE,"",'Sektorski plasman'!E70)</f>
        <v>Rak Rakitje</v>
      </c>
      <c r="D69" s="346">
        <f>IF(ISNUMBER('Sektorski plasman'!B70)=FALSE,"",'Sektorski plasman'!B70)</f>
        <v>1256</v>
      </c>
      <c r="E69" s="281">
        <f>IF(ISNUMBER('Sektorski plasman'!C70)=FALSE,"",'Sektorski plasman'!C70)</f>
        <v>3</v>
      </c>
      <c r="F69" s="282">
        <f>IF(ISNUMBER('Sektorski plasman'!A70)=FALSE,"",'Sektorski plasman'!A70)</f>
        <v>10</v>
      </c>
    </row>
    <row r="70" spans="1:6" ht="12.75">
      <c r="A70" s="280">
        <f>IF(ISNUMBER(F70)=FALSE,"",11)</f>
        <v>11</v>
      </c>
      <c r="B70" s="297" t="str">
        <f>IF(ISNONTEXT('Sektorski plasman'!D71)=TRUE,"",'Sektorski plasman'!D71)</f>
        <v>Hrvoje Horvat</v>
      </c>
      <c r="C70" s="298" t="str">
        <f>IF(ISNONTEXT('Sektorski plasman'!E71)=TRUE,"",'Sektorski plasman'!E71)</f>
        <v>Štuka Torčec</v>
      </c>
      <c r="D70" s="346">
        <f>IF(ISNUMBER('Sektorski plasman'!B71)=FALSE,"",'Sektorski plasman'!B71)</f>
        <v>1098</v>
      </c>
      <c r="E70" s="281">
        <f>IF(ISNUMBER('Sektorski plasman'!C71)=FALSE,"",'Sektorski plasman'!C71)</f>
        <v>2</v>
      </c>
      <c r="F70" s="282">
        <f>IF(ISNUMBER('Sektorski plasman'!A71)=FALSE,"",'Sektorski plasman'!A71)</f>
        <v>11</v>
      </c>
    </row>
    <row r="71" spans="1:6" ht="12.75">
      <c r="A71" s="283">
        <f>IF(ISNUMBER(F71)=FALSE,"",12)</f>
        <v>12</v>
      </c>
      <c r="B71" s="293" t="str">
        <f>IF(ISNONTEXT('Sektorski plasman'!D72)=TRUE,"",'Sektorski plasman'!D72)</f>
        <v>Goran Funes</v>
      </c>
      <c r="C71" s="294" t="str">
        <f>IF(ISNONTEXT('Sektorski plasman'!E72)=TRUE,"",'Sektorski plasman'!E72)</f>
        <v>Klen N.Gradiška</v>
      </c>
      <c r="D71" s="347">
        <f>IF(ISNUMBER('Sektorski plasman'!B72)=FALSE,"",'Sektorski plasman'!B72)</f>
        <v>480</v>
      </c>
      <c r="E71" s="284">
        <f>IF(ISNUMBER('Sektorski plasman'!C72)=FALSE,"",'Sektorski plasman'!C72)</f>
        <v>8</v>
      </c>
      <c r="F71" s="285">
        <f>IF(ISNUMBER('Sektorski plasman'!A72)=FALSE,"",'Sektorski plasman'!A72)</f>
        <v>12</v>
      </c>
    </row>
    <row r="74" ht="15.75">
      <c r="A74" s="83"/>
    </row>
    <row r="75" spans="1:7" ht="12.75">
      <c r="A75" s="271" t="s">
        <v>261</v>
      </c>
      <c r="B75" s="272"/>
      <c r="C75" s="272"/>
      <c r="D75" s="273"/>
      <c r="E75" s="272"/>
      <c r="F75" s="274"/>
      <c r="G75" s="57"/>
    </row>
    <row r="76" spans="1:6" ht="12.75">
      <c r="A76" s="275" t="s">
        <v>254</v>
      </c>
      <c r="B76" s="276" t="s">
        <v>22</v>
      </c>
      <c r="C76" s="276" t="s">
        <v>21</v>
      </c>
      <c r="D76" s="277" t="s">
        <v>255</v>
      </c>
      <c r="E76" s="278" t="s">
        <v>256</v>
      </c>
      <c r="F76" s="279" t="s">
        <v>257</v>
      </c>
    </row>
    <row r="77" spans="1:6" ht="12.75">
      <c r="A77" s="286">
        <f>IF(ISNUMBER(F77)=FALSE,"",1)</f>
        <v>1</v>
      </c>
      <c r="B77" s="295" t="str">
        <f>IF(ISNONTEXT('Sektorski plasman'!D78)=TRUE,"",'Sektorski plasman'!D78)</f>
        <v>Ivan Kovač</v>
      </c>
      <c r="C77" s="296" t="str">
        <f>IF(ISNONTEXT('Sektorski plasman'!E78)=TRUE,"",'Sektorski plasman'!E78)</f>
        <v>Korana Karlovac</v>
      </c>
      <c r="D77" s="345">
        <f>IF(ISNUMBER('Sektorski plasman'!B78)=FALSE,"",'Sektorski plasman'!B78)</f>
        <v>5000</v>
      </c>
      <c r="E77" s="287">
        <f>IF(ISNUMBER('Sektorski plasman'!C78)=FALSE,"",'Sektorski plasman'!C78)</f>
        <v>1</v>
      </c>
      <c r="F77" s="288">
        <f>IF(ISNUMBER('Sektorski plasman'!A78)=FALSE,"",'Sektorski plasman'!A78)</f>
        <v>1</v>
      </c>
    </row>
    <row r="78" spans="1:6" ht="12.75">
      <c r="A78" s="280">
        <f>IF(ISNUMBER(F78)=FALSE,"",2)</f>
        <v>2</v>
      </c>
      <c r="B78" s="297" t="str">
        <f>IF(ISNONTEXT('Sektorski plasman'!D79)=TRUE,"",'Sektorski plasman'!D79)</f>
        <v>Ivan Finek</v>
      </c>
      <c r="C78" s="298" t="str">
        <f>IF(ISNONTEXT('Sektorski plasman'!E79)=TRUE,"",'Sektorski plasman'!E79)</f>
        <v>Jez Jasenovac</v>
      </c>
      <c r="D78" s="346">
        <f>IF(ISNUMBER('Sektorski plasman'!B79)=FALSE,"",'Sektorski plasman'!B79)</f>
        <v>3800</v>
      </c>
      <c r="E78" s="281">
        <f>IF(ISNUMBER('Sektorski plasman'!C79)=FALSE,"",'Sektorski plasman'!C79)</f>
        <v>12</v>
      </c>
      <c r="F78" s="282">
        <f>IF(ISNUMBER('Sektorski plasman'!A79)=FALSE,"",'Sektorski plasman'!A79)</f>
        <v>2</v>
      </c>
    </row>
    <row r="79" spans="1:6" ht="12.75">
      <c r="A79" s="280">
        <f>IF(ISNUMBER(F79)=FALSE,"",3)</f>
        <v>3</v>
      </c>
      <c r="B79" s="297" t="str">
        <f>IF(ISNONTEXT('Sektorski plasman'!D80)=TRUE,"",'Sektorski plasman'!D80)</f>
        <v>Josip Kutlić</v>
      </c>
      <c r="C79" s="298" t="str">
        <f>IF(ISNONTEXT('Sektorski plasman'!E80)=TRUE,"",'Sektorski plasman'!E80)</f>
        <v>Ilova Garešnica</v>
      </c>
      <c r="D79" s="346">
        <f>IF(ISNUMBER('Sektorski plasman'!B80)=FALSE,"",'Sektorski plasman'!B80)</f>
        <v>1765</v>
      </c>
      <c r="E79" s="281">
        <f>IF(ISNUMBER('Sektorski plasman'!C80)=FALSE,"",'Sektorski plasman'!C80)</f>
        <v>11</v>
      </c>
      <c r="F79" s="282">
        <f>IF(ISNUMBER('Sektorski plasman'!A80)=FALSE,"",'Sektorski plasman'!A80)</f>
        <v>3.5</v>
      </c>
    </row>
    <row r="80" spans="1:6" ht="12.75">
      <c r="A80" s="280">
        <f>IF(ISNUMBER(F80)=FALSE,"",4)</f>
        <v>4</v>
      </c>
      <c r="B80" s="297" t="str">
        <f>IF(ISNONTEXT('Sektorski plasman'!D81)=TRUE,"",'Sektorski plasman'!D81)</f>
        <v>Zoran Štefanić</v>
      </c>
      <c r="C80" s="298" t="str">
        <f>IF(ISNONTEXT('Sektorski plasman'!E81)=TRUE,"",'Sektorski plasman'!E81)</f>
        <v>TPK Zagreb</v>
      </c>
      <c r="D80" s="346">
        <f>IF(ISNUMBER('Sektorski plasman'!B81)=FALSE,"",'Sektorski plasman'!B81)</f>
        <v>1765</v>
      </c>
      <c r="E80" s="281">
        <f>IF(ISNUMBER('Sektorski plasman'!C81)=FALSE,"",'Sektorski plasman'!C81)</f>
        <v>10</v>
      </c>
      <c r="F80" s="282">
        <f>IF(ISNUMBER('Sektorski plasman'!A81)=FALSE,"",'Sektorski plasman'!A81)</f>
        <v>3.5</v>
      </c>
    </row>
    <row r="81" spans="1:6" ht="12.75">
      <c r="A81" s="280">
        <f>IF(ISNUMBER(F81)=FALSE,"",5)</f>
        <v>5</v>
      </c>
      <c r="B81" s="297" t="str">
        <f>IF(ISNONTEXT('Sektorski plasman'!D82)=TRUE,"",'Sektorski plasman'!D82)</f>
        <v>Damir Jauševac</v>
      </c>
      <c r="C81" s="298" t="str">
        <f>IF(ISNONTEXT('Sektorski plasman'!E82)=TRUE,"",'Sektorski plasman'!E82)</f>
        <v>Bjelka GME Sunja</v>
      </c>
      <c r="D81" s="346">
        <f>IF(ISNUMBER('Sektorski plasman'!B82)=FALSE,"",'Sektorski plasman'!B82)</f>
        <v>1498</v>
      </c>
      <c r="E81" s="281">
        <f>IF(ISNUMBER('Sektorski plasman'!C82)=FALSE,"",'Sektorski plasman'!C82)</f>
        <v>9</v>
      </c>
      <c r="F81" s="282">
        <f>IF(ISNUMBER('Sektorski plasman'!A82)=FALSE,"",'Sektorski plasman'!A82)</f>
        <v>5</v>
      </c>
    </row>
    <row r="82" spans="1:6" ht="12.75">
      <c r="A82" s="280">
        <f>IF(ISNUMBER(F82)=FALSE,"",6)</f>
        <v>6</v>
      </c>
      <c r="B82" s="297" t="str">
        <f>IF(ISNONTEXT('Sektorski plasman'!D83)=TRUE,"",'Sektorski plasman'!D83)</f>
        <v>Stiven Palijan</v>
      </c>
      <c r="C82" s="298" t="str">
        <f>IF(ISNONTEXT('Sektorski plasman'!E83)=TRUE,"",'Sektorski plasman'!E83)</f>
        <v>Klen N.Gradiška</v>
      </c>
      <c r="D82" s="346">
        <f>IF(ISNUMBER('Sektorski plasman'!B83)=FALSE,"",'Sektorski plasman'!B83)</f>
        <v>1497</v>
      </c>
      <c r="E82" s="281">
        <f>IF(ISNUMBER('Sektorski plasman'!C83)=FALSE,"",'Sektorski plasman'!C83)</f>
        <v>8</v>
      </c>
      <c r="F82" s="282">
        <f>IF(ISNUMBER('Sektorski plasman'!A83)=FALSE,"",'Sektorski plasman'!A83)</f>
        <v>6</v>
      </c>
    </row>
    <row r="83" spans="1:6" ht="12.75">
      <c r="A83" s="280">
        <f>IF(ISNUMBER(F83)=FALSE,"",7)</f>
        <v>7</v>
      </c>
      <c r="B83" s="297" t="str">
        <f>IF(ISNONTEXT('Sektorski plasman'!D84)=TRUE,"",'Sektorski plasman'!D84)</f>
        <v>Goran Abramović</v>
      </c>
      <c r="C83" s="298" t="str">
        <f>IF(ISNONTEXT('Sektorski plasman'!E84)=TRUE,"",'Sektorski plasman'!E84)</f>
        <v>Trnje-ŠR Zagreb</v>
      </c>
      <c r="D83" s="346">
        <f>IF(ISNUMBER('Sektorski plasman'!B84)=FALSE,"",'Sektorski plasman'!B84)</f>
        <v>1354</v>
      </c>
      <c r="E83" s="281">
        <f>IF(ISNUMBER('Sektorski plasman'!C84)=FALSE,"",'Sektorski plasman'!C84)</f>
        <v>7</v>
      </c>
      <c r="F83" s="282">
        <f>IF(ISNUMBER('Sektorski plasman'!A84)=FALSE,"",'Sektorski plasman'!A84)</f>
        <v>7</v>
      </c>
    </row>
    <row r="84" spans="1:6" ht="12.75">
      <c r="A84" s="280">
        <f>IF(ISNUMBER(F84)=FALSE,"",8)</f>
        <v>8</v>
      </c>
      <c r="B84" s="297" t="str">
        <f>IF(ISNONTEXT('Sektorski plasman'!D85)=TRUE,"",'Sektorski plasman'!D85)</f>
        <v>Davor Florijanić</v>
      </c>
      <c r="C84" s="298" t="str">
        <f>IF(ISNONTEXT('Sektorski plasman'!E85)=TRUE,"",'Sektorski plasman'!E85)</f>
        <v>Azzuro Varaždin</v>
      </c>
      <c r="D84" s="346">
        <f>IF(ISNUMBER('Sektorski plasman'!B85)=FALSE,"",'Sektorski plasman'!B85)</f>
        <v>1325</v>
      </c>
      <c r="E84" s="281">
        <f>IF(ISNUMBER('Sektorski plasman'!C85)=FALSE,"",'Sektorski plasman'!C85)</f>
        <v>6</v>
      </c>
      <c r="F84" s="282">
        <f>IF(ISNUMBER('Sektorski plasman'!A85)=FALSE,"",'Sektorski plasman'!A85)</f>
        <v>8.5</v>
      </c>
    </row>
    <row r="85" spans="1:6" ht="12.75">
      <c r="A85" s="280">
        <f>IF(ISNUMBER(F85)=FALSE,"",9)</f>
        <v>9</v>
      </c>
      <c r="B85" s="297" t="str">
        <f>IF(ISNONTEXT('Sektorski plasman'!D86)=TRUE,"",'Sektorski plasman'!D86)</f>
        <v>Kristijan Kosmačin</v>
      </c>
      <c r="C85" s="298" t="str">
        <f>IF(ISNONTEXT('Sektorski plasman'!E86)=TRUE,"",'Sektorski plasman'!E86)</f>
        <v>Varaždin Varaždin</v>
      </c>
      <c r="D85" s="346">
        <f>IF(ISNUMBER('Sektorski plasman'!B86)=FALSE,"",'Sektorski plasman'!B86)</f>
        <v>1325</v>
      </c>
      <c r="E85" s="281">
        <f>IF(ISNUMBER('Sektorski plasman'!C86)=FALSE,"",'Sektorski plasman'!C86)</f>
        <v>5</v>
      </c>
      <c r="F85" s="282">
        <f>IF(ISNUMBER('Sektorski plasman'!A86)=FALSE,"",'Sektorski plasman'!A86)</f>
        <v>8.5</v>
      </c>
    </row>
    <row r="86" spans="1:6" ht="12.75">
      <c r="A86" s="280">
        <f>IF(ISNUMBER(F86)=FALSE,"",10)</f>
        <v>10</v>
      </c>
      <c r="B86" s="297" t="str">
        <f>IF(ISNONTEXT('Sektorski plasman'!D87)=TRUE,"",'Sektorski plasman'!D87)</f>
        <v>Dražen Štajduhar</v>
      </c>
      <c r="C86" s="298" t="str">
        <f>IF(ISNONTEXT('Sektorski plasman'!E87)=TRUE,"",'Sektorski plasman'!E87)</f>
        <v>Bjelovar Bjelovar</v>
      </c>
      <c r="D86" s="346">
        <f>IF(ISNUMBER('Sektorski plasman'!B87)=FALSE,"",'Sektorski plasman'!B87)</f>
        <v>1256</v>
      </c>
      <c r="E86" s="281">
        <f>IF(ISNUMBER('Sektorski plasman'!C87)=FALSE,"",'Sektorski plasman'!C87)</f>
        <v>4</v>
      </c>
      <c r="F86" s="282">
        <f>IF(ISNUMBER('Sektorski plasman'!A87)=FALSE,"",'Sektorski plasman'!A87)</f>
        <v>10.5</v>
      </c>
    </row>
    <row r="87" spans="1:6" ht="12.75">
      <c r="A87" s="280">
        <f>IF(ISNUMBER(F87)=FALSE,"",11)</f>
        <v>11</v>
      </c>
      <c r="B87" s="297" t="str">
        <f>IF(ISNONTEXT('Sektorski plasman'!D88)=TRUE,"",'Sektorski plasman'!D88)</f>
        <v>Zlatko Auker</v>
      </c>
      <c r="C87" s="298" t="str">
        <f>IF(ISNONTEXT('Sektorski plasman'!E88)=TRUE,"",'Sektorski plasman'!E88)</f>
        <v>Rak Rakitje</v>
      </c>
      <c r="D87" s="346">
        <f>IF(ISNUMBER('Sektorski plasman'!B88)=FALSE,"",'Sektorski plasman'!B88)</f>
        <v>1256</v>
      </c>
      <c r="E87" s="281">
        <f>IF(ISNUMBER('Sektorski plasman'!C88)=FALSE,"",'Sektorski plasman'!C88)</f>
        <v>3</v>
      </c>
      <c r="F87" s="282">
        <f>IF(ISNUMBER('Sektorski plasman'!A88)=FALSE,"",'Sektorski plasman'!A88)</f>
        <v>10.5</v>
      </c>
    </row>
    <row r="88" spans="1:6" ht="12.75">
      <c r="A88" s="283">
        <f>IF(ISNUMBER(F88)=FALSE,"",12)</f>
        <v>12</v>
      </c>
      <c r="B88" s="293" t="str">
        <f>IF(ISNONTEXT('Sektorski plasman'!D89)=TRUE,"",'Sektorski plasman'!D89)</f>
        <v>Saša Mustač</v>
      </c>
      <c r="C88" s="294" t="str">
        <f>IF(ISNONTEXT('Sektorski plasman'!E89)=TRUE,"",'Sektorski plasman'!E89)</f>
        <v>Štuka Torčec</v>
      </c>
      <c r="D88" s="347">
        <f>IF(ISNUMBER('Sektorski plasman'!B89)=FALSE,"",'Sektorski plasman'!B89)</f>
        <v>1045</v>
      </c>
      <c r="E88" s="284">
        <f>IF(ISNUMBER('Sektorski plasman'!C89)=FALSE,"",'Sektorski plasman'!C89)</f>
        <v>2</v>
      </c>
      <c r="F88" s="285">
        <f>IF(ISNUMBER('Sektorski plasman'!A89)=FALSE,"",'Sektorski plasman'!A89)</f>
        <v>12</v>
      </c>
    </row>
    <row r="110" spans="1:6" ht="12.75">
      <c r="A110" s="134"/>
      <c r="B110" s="134"/>
      <c r="C110" s="134"/>
      <c r="D110" s="134"/>
      <c r="E110" s="134"/>
      <c r="F110" s="134"/>
    </row>
  </sheetData>
  <sheetProtection password="C7E2" sheet="1" objects="1" scenarios="1"/>
  <printOptions horizontalCentered="1"/>
  <pageMargins left="0.984251968503937" right="0.984251968503937" top="0.7874015748031497" bottom="0.9448818897637796" header="0.5118110236220472" footer="0.15748031496062992"/>
  <pageSetup horizontalDpi="300" verticalDpi="300" orientation="portrait" paperSize="9" r:id="rId4"/>
  <headerFooter alignWithMargins="0">
    <oddFooter>&amp;L&amp;"Arial,Kurziv"&amp;YSektorski plasman&amp;C&amp;"Arial,Kurziv"&amp;11&amp;XProgram za izračun rezultata i provođenje natjecanja&amp;R&amp;"Arial,Kurziv"&amp;YStranica &amp;P</oddFooter>
  </headerFooter>
  <drawing r:id="rId3"/>
  <legacyDrawing r:id="rId2"/>
</worksheet>
</file>

<file path=xl/worksheets/sheet21.xml><?xml version="1.0" encoding="utf-8"?>
<worksheet xmlns="http://schemas.openxmlformats.org/spreadsheetml/2006/main" xmlns:r="http://schemas.openxmlformats.org/officeDocument/2006/relationships">
  <sheetPr codeName="Sheet23">
    <tabColor indexed="51"/>
  </sheetPr>
  <dimension ref="A1:M64"/>
  <sheetViews>
    <sheetView showRowColHeaders="0" zoomScalePageLayoutView="0" workbookViewId="0" topLeftCell="A1">
      <selection activeCell="K10" sqref="K10"/>
    </sheetView>
  </sheetViews>
  <sheetFormatPr defaultColWidth="9.140625" defaultRowHeight="12.75"/>
  <cols>
    <col min="1" max="1" width="5.28125" style="7" customWidth="1"/>
    <col min="2" max="2" width="27.421875" style="6" customWidth="1"/>
    <col min="3" max="4" width="11.28125" style="7" customWidth="1"/>
    <col min="5" max="5" width="12.8515625" style="7" customWidth="1"/>
    <col min="6" max="6" width="13.7109375" style="7" customWidth="1"/>
    <col min="7" max="7" width="12.8515625" style="7" hidden="1" customWidth="1"/>
    <col min="8" max="8" width="15.7109375" style="7" hidden="1" customWidth="1"/>
    <col min="9" max="13" width="9.140625" style="7" customWidth="1"/>
    <col min="14" max="16384" width="9.140625" style="6" customWidth="1"/>
  </cols>
  <sheetData>
    <row r="1" spans="1:12" s="15" customFormat="1" ht="12.75">
      <c r="A1" s="250" t="s">
        <v>248</v>
      </c>
      <c r="B1" s="251"/>
      <c r="C1" s="252" t="str">
        <f>IF(ISNONTEXT('Organizacija natjecanja'!$H$2)=TRUE,"",'Organizacija natjecanja'!$H$2)</f>
        <v>KUP "BLJESAK"</v>
      </c>
      <c r="D1" s="253"/>
      <c r="E1" s="253"/>
      <c r="F1" s="255"/>
      <c r="J1" s="56"/>
      <c r="L1" s="7"/>
    </row>
    <row r="2" spans="1:13" s="17" customFormat="1" ht="12.75">
      <c r="A2" s="256" t="s">
        <v>249</v>
      </c>
      <c r="B2" s="257"/>
      <c r="C2" s="258" t="str">
        <f>IF(ISNONTEXT('Organizacija natjecanja'!$H$5)=TRUE,"",'Organizacija natjecanja'!$H$5)</f>
        <v>Lipik, 28.04.2009.g.</v>
      </c>
      <c r="D2" s="259"/>
      <c r="E2" s="259"/>
      <c r="F2" s="260"/>
      <c r="G2" s="7"/>
      <c r="H2" s="7"/>
      <c r="I2" s="7"/>
      <c r="J2" s="7"/>
      <c r="K2" s="7"/>
      <c r="L2" s="7"/>
      <c r="M2" s="7"/>
    </row>
    <row r="3" spans="1:6" ht="12.75">
      <c r="A3" s="256" t="s">
        <v>250</v>
      </c>
      <c r="B3" s="257"/>
      <c r="C3" s="261" t="str">
        <f>IF(ISNONTEXT('Organizacija natjecanja'!$H$7)=TRUE,"",'Organizacija natjecanja'!$H$7)</f>
        <v>ŠRS Požeško slavonske županije</v>
      </c>
      <c r="D3" s="262"/>
      <c r="E3" s="262"/>
      <c r="F3" s="264"/>
    </row>
    <row r="4" spans="1:6" ht="12.75">
      <c r="A4" s="256" t="s">
        <v>251</v>
      </c>
      <c r="B4" s="257"/>
      <c r="C4" s="261" t="str">
        <f>IF(ISNONTEXT('Organizacija natjecanja'!$H$13)=TRUE,"",'Organizacija natjecanja'!$H$13)</f>
        <v>ŠRD Pakrac Pakrac</v>
      </c>
      <c r="D4" s="262"/>
      <c r="E4" s="262"/>
      <c r="F4" s="264"/>
    </row>
    <row r="5" spans="1:6" ht="12.75">
      <c r="A5" s="256" t="s">
        <v>252</v>
      </c>
      <c r="B5" s="257"/>
      <c r="C5" s="261" t="str">
        <f>IF(ISNONTEXT('Organizacija natjecanja'!$H$4)=TRUE,"",'Organizacija natjecanja'!$H$4)</f>
        <v>Jezero Raminac</v>
      </c>
      <c r="D5" s="262"/>
      <c r="E5" s="262"/>
      <c r="F5" s="264"/>
    </row>
    <row r="6" spans="1:6" ht="12.75">
      <c r="A6" s="256"/>
      <c r="B6" s="257"/>
      <c r="C6" s="261"/>
      <c r="D6" s="262"/>
      <c r="E6" s="262"/>
      <c r="F6" s="264"/>
    </row>
    <row r="7" spans="1:12" ht="14.25" customHeight="1">
      <c r="A7" s="265" t="s">
        <v>160</v>
      </c>
      <c r="B7" s="266"/>
      <c r="C7" s="267" t="str">
        <f>IF(ISBLANK('Organizacija natjecanja'!$H$9)=TRUE,"",'Organizacija natjecanja'!$H$9)</f>
        <v>SENIORI</v>
      </c>
      <c r="D7" s="268"/>
      <c r="E7" s="268"/>
      <c r="F7" s="270"/>
      <c r="L7" s="15"/>
    </row>
    <row r="8" spans="1:12" ht="12.75">
      <c r="A8" s="322"/>
      <c r="B8" s="323"/>
      <c r="C8" s="324"/>
      <c r="D8" s="325"/>
      <c r="E8" s="325"/>
      <c r="F8" s="300"/>
      <c r="L8" s="15"/>
    </row>
    <row r="9" spans="1:8" ht="25.5">
      <c r="A9" s="303" t="s">
        <v>262</v>
      </c>
      <c r="B9" s="304" t="s">
        <v>263</v>
      </c>
      <c r="C9" s="305" t="s">
        <v>102</v>
      </c>
      <c r="D9" s="306" t="s">
        <v>264</v>
      </c>
      <c r="E9" s="306" t="s">
        <v>265</v>
      </c>
      <c r="F9" s="307" t="s">
        <v>257</v>
      </c>
      <c r="H9" s="99"/>
    </row>
    <row r="10" spans="1:13" s="8" customFormat="1" ht="12.75">
      <c r="A10" s="286">
        <f>IF(ISNUMBER(C10)=FALSE,"",1)</f>
        <v>1</v>
      </c>
      <c r="B10" s="295" t="str">
        <f>IF(ISBLANK('Ekipni plasman'!B6)=TRUE,"",'Ekipni plasman'!B6)</f>
        <v>Korana Karlovac</v>
      </c>
      <c r="C10" s="326">
        <f>IF(ISNUMBER('Ekipni plasman'!C6)=FALSE,"",'Ekipni plasman'!C6)</f>
        <v>5</v>
      </c>
      <c r="D10" s="348">
        <f>IF(ISNUMBER('Ekipni plasman'!D6)=FALSE,"",'Ekipni plasman'!D6)</f>
        <v>25000</v>
      </c>
      <c r="E10" s="348">
        <f>IF(ISNUMBER('Ekipni plasman'!E6)=FALSE,"",'Ekipni plasman'!E6)</f>
        <v>5000</v>
      </c>
      <c r="F10" s="288">
        <f>IF(ISNUMBER('Ekipni plasman'!F6)=FALSE,"",'Ekipni plasman'!F6)</f>
        <v>1</v>
      </c>
      <c r="G10" s="70">
        <f aca="true" t="shared" si="0" ref="G10:G21">IF(ISNUMBER(C10)=FALSE,"",RANK(H10,$H$10:$H$21,1))</f>
        <v>1</v>
      </c>
      <c r="H10" s="55">
        <f aca="true" t="shared" si="1" ref="H10:H21">IF(ISNUMBER(C10)=FALSE,"",C10-D10/100000-E10/1000000000)</f>
        <v>4.749995</v>
      </c>
      <c r="I10" s="55"/>
      <c r="K10" s="55"/>
      <c r="L10" s="55"/>
      <c r="M10" s="55"/>
    </row>
    <row r="11" spans="1:13" s="8" customFormat="1" ht="12.75">
      <c r="A11" s="280">
        <f>IF(ISNUMBER(C11)=FALSE,"",2)</f>
        <v>2</v>
      </c>
      <c r="B11" s="297" t="str">
        <f>IF(ISBLANK('Ekipni plasman'!B7)=TRUE,"",'Ekipni plasman'!B7)</f>
        <v>Jez Jasenovac</v>
      </c>
      <c r="C11" s="327">
        <f>IF(ISNUMBER('Ekipni plasman'!C7)=FALSE,"",'Ekipni plasman'!C7)</f>
        <v>17</v>
      </c>
      <c r="D11" s="349">
        <f>IF(ISNUMBER('Ekipni plasman'!D7)=FALSE,"",'Ekipni plasman'!D7)</f>
        <v>16650</v>
      </c>
      <c r="E11" s="349">
        <f>IF(ISNUMBER('Ekipni plasman'!E7)=FALSE,"",'Ekipni plasman'!E7)</f>
        <v>4500</v>
      </c>
      <c r="F11" s="282">
        <f>IF(ISNUMBER('Ekipni plasman'!F7)=FALSE,"",'Ekipni plasman'!F7)</f>
        <v>2</v>
      </c>
      <c r="G11" s="70">
        <f t="shared" si="0"/>
        <v>2</v>
      </c>
      <c r="H11" s="55">
        <f t="shared" si="1"/>
        <v>16.8334955</v>
      </c>
      <c r="I11" s="55"/>
      <c r="K11" s="55"/>
      <c r="L11" s="55"/>
      <c r="M11" s="55"/>
    </row>
    <row r="12" spans="1:13" s="8" customFormat="1" ht="12.75">
      <c r="A12" s="280">
        <f>IF(ISNUMBER(C12)=FALSE,"",3)</f>
        <v>3</v>
      </c>
      <c r="B12" s="297" t="str">
        <f>IF(ISBLANK('Ekipni plasman'!B8)=TRUE,"",'Ekipni plasman'!B8)</f>
        <v>Ilova Garešnica</v>
      </c>
      <c r="C12" s="327">
        <f>IF(ISNUMBER('Ekipni plasman'!C8)=FALSE,"",'Ekipni plasman'!C8)</f>
        <v>28</v>
      </c>
      <c r="D12" s="349">
        <f>IF(ISNUMBER('Ekipni plasman'!D8)=FALSE,"",'Ekipni plasman'!D8)</f>
        <v>9860</v>
      </c>
      <c r="E12" s="349">
        <f>IF(ISNUMBER('Ekipni plasman'!E8)=FALSE,"",'Ekipni plasman'!E8)</f>
        <v>2800</v>
      </c>
      <c r="F12" s="282">
        <f>IF(ISNUMBER('Ekipni plasman'!F8)=FALSE,"",'Ekipni plasman'!F8)</f>
        <v>3</v>
      </c>
      <c r="G12" s="70">
        <f t="shared" si="0"/>
        <v>3</v>
      </c>
      <c r="H12" s="55">
        <f t="shared" si="1"/>
        <v>27.901397199999998</v>
      </c>
      <c r="I12" s="55"/>
      <c r="K12" s="55"/>
      <c r="L12" s="55"/>
      <c r="M12" s="55"/>
    </row>
    <row r="13" spans="1:13" s="8" customFormat="1" ht="12.75">
      <c r="A13" s="280">
        <f>IF(ISNUMBER(C13)=FALSE,"",4)</f>
        <v>4</v>
      </c>
      <c r="B13" s="297" t="str">
        <f>IF(ISBLANK('Ekipni plasman'!B9)=TRUE,"",'Ekipni plasman'!B9)</f>
        <v>Rak Rakitje</v>
      </c>
      <c r="C13" s="327">
        <f>IF(ISNUMBER('Ekipni plasman'!C9)=FALSE,"",'Ekipni plasman'!C9)</f>
        <v>29.5</v>
      </c>
      <c r="D13" s="349">
        <f>IF(ISNUMBER('Ekipni plasman'!D9)=FALSE,"",'Ekipni plasman'!D9)</f>
        <v>12682</v>
      </c>
      <c r="E13" s="349">
        <f>IF(ISNUMBER('Ekipni plasman'!E9)=FALSE,"",'Ekipni plasman'!E9)</f>
        <v>4740</v>
      </c>
      <c r="F13" s="282">
        <f>IF(ISNUMBER('Ekipni plasman'!F9)=FALSE,"",'Ekipni plasman'!F9)</f>
        <v>4</v>
      </c>
      <c r="G13" s="70">
        <f t="shared" si="0"/>
        <v>4</v>
      </c>
      <c r="H13" s="55">
        <f t="shared" si="1"/>
        <v>29.37317526</v>
      </c>
      <c r="I13" s="55"/>
      <c r="K13" s="55"/>
      <c r="L13" s="55"/>
      <c r="M13" s="55"/>
    </row>
    <row r="14" spans="1:13" s="8" customFormat="1" ht="12.75">
      <c r="A14" s="280">
        <f>IF(ISNUMBER(C14)=FALSE,"",5)</f>
        <v>5</v>
      </c>
      <c r="B14" s="297" t="str">
        <f>IF(ISBLANK('Ekipni plasman'!B10)=TRUE,"",'Ekipni plasman'!B10)</f>
        <v>TPK Zagreb</v>
      </c>
      <c r="C14" s="327">
        <f>IF(ISNUMBER('Ekipni plasman'!C10)=FALSE,"",'Ekipni plasman'!C10)</f>
        <v>30</v>
      </c>
      <c r="D14" s="349">
        <f>IF(ISNUMBER('Ekipni plasman'!D10)=FALSE,"",'Ekipni plasman'!D10)</f>
        <v>8825</v>
      </c>
      <c r="E14" s="349">
        <f>IF(ISNUMBER('Ekipni plasman'!E10)=FALSE,"",'Ekipni plasman'!E10)</f>
        <v>1765</v>
      </c>
      <c r="F14" s="282">
        <f>IF(ISNUMBER('Ekipni plasman'!F10)=FALSE,"",'Ekipni plasman'!F10)</f>
        <v>5</v>
      </c>
      <c r="G14" s="70">
        <f t="shared" si="0"/>
        <v>5</v>
      </c>
      <c r="H14" s="55">
        <f t="shared" si="1"/>
        <v>29.911748235</v>
      </c>
      <c r="I14" s="55"/>
      <c r="K14" s="55"/>
      <c r="L14" s="55"/>
      <c r="M14" s="55"/>
    </row>
    <row r="15" spans="1:13" s="8" customFormat="1" ht="12.75">
      <c r="A15" s="280">
        <f>IF(ISNUMBER(C15)=FALSE,"",6)</f>
        <v>6</v>
      </c>
      <c r="B15" s="297" t="str">
        <f>IF(ISBLANK('Ekipni plasman'!B11)=TRUE,"",'Ekipni plasman'!B11)</f>
        <v>Štuka Torčec</v>
      </c>
      <c r="C15" s="327">
        <f>IF(ISNUMBER('Ekipni plasman'!C11)=FALSE,"",'Ekipni plasman'!C11)</f>
        <v>36</v>
      </c>
      <c r="D15" s="349">
        <f>IF(ISNUMBER('Ekipni plasman'!D11)=FALSE,"",'Ekipni plasman'!D11)</f>
        <v>10268</v>
      </c>
      <c r="E15" s="349">
        <f>IF(ISNUMBER('Ekipni plasman'!E11)=FALSE,"",'Ekipni plasman'!E11)</f>
        <v>4235</v>
      </c>
      <c r="F15" s="282">
        <f>IF(ISNUMBER('Ekipni plasman'!F11)=FALSE,"",'Ekipni plasman'!F11)</f>
        <v>6</v>
      </c>
      <c r="G15" s="70">
        <f t="shared" si="0"/>
        <v>6</v>
      </c>
      <c r="H15" s="55">
        <f t="shared" si="1"/>
        <v>35.897315765</v>
      </c>
      <c r="I15" s="55"/>
      <c r="K15" s="55"/>
      <c r="L15" s="55"/>
      <c r="M15" s="55"/>
    </row>
    <row r="16" spans="1:13" s="8" customFormat="1" ht="12.75">
      <c r="A16" s="280">
        <f>IF(ISNUMBER(C16)=FALSE,"",7)</f>
        <v>7</v>
      </c>
      <c r="B16" s="297" t="str">
        <f>IF(ISBLANK('Ekipni plasman'!B12)=TRUE,"",'Ekipni plasman'!B12)</f>
        <v>Azzuro Varaždin</v>
      </c>
      <c r="C16" s="327">
        <f>IF(ISNUMBER('Ekipni plasman'!C12)=FALSE,"",'Ekipni plasman'!C12)</f>
        <v>36</v>
      </c>
      <c r="D16" s="349">
        <f>IF(ISNUMBER('Ekipni plasman'!D12)=FALSE,"",'Ekipni plasman'!D12)</f>
        <v>7908</v>
      </c>
      <c r="E16" s="349">
        <f>IF(ISNUMBER('Ekipni plasman'!E12)=FALSE,"",'Ekipni plasman'!E12)</f>
        <v>2105</v>
      </c>
      <c r="F16" s="282">
        <f>IF(ISNUMBER('Ekipni plasman'!F12)=FALSE,"",'Ekipni plasman'!F12)</f>
        <v>7</v>
      </c>
      <c r="G16" s="70">
        <f t="shared" si="0"/>
        <v>7</v>
      </c>
      <c r="H16" s="55">
        <f t="shared" si="1"/>
        <v>35.920917895</v>
      </c>
      <c r="I16" s="55"/>
      <c r="K16" s="55"/>
      <c r="L16" s="55"/>
      <c r="M16" s="55"/>
    </row>
    <row r="17" spans="1:13" s="8" customFormat="1" ht="12.75">
      <c r="A17" s="280">
        <f>IF(ISNUMBER(C17)=FALSE,"",8)</f>
        <v>8</v>
      </c>
      <c r="B17" s="297" t="str">
        <f>IF(ISBLANK('Ekipni plasman'!B13)=TRUE,"",'Ekipni plasman'!B13)</f>
        <v>Trnje-ŠR Zagreb</v>
      </c>
      <c r="C17" s="327">
        <f>IF(ISNUMBER('Ekipni plasman'!C13)=FALSE,"",'Ekipni plasman'!C13)</f>
        <v>36.5</v>
      </c>
      <c r="D17" s="349">
        <f>IF(ISNUMBER('Ekipni plasman'!D13)=FALSE,"",'Ekipni plasman'!D13)</f>
        <v>7442</v>
      </c>
      <c r="E17" s="349">
        <f>IF(ISNUMBER('Ekipni plasman'!E13)=FALSE,"",'Ekipni plasman'!E13)</f>
        <v>1895</v>
      </c>
      <c r="F17" s="282">
        <f>IF(ISNUMBER('Ekipni plasman'!F13)=FALSE,"",'Ekipni plasman'!F13)</f>
        <v>8</v>
      </c>
      <c r="G17" s="70">
        <f t="shared" si="0"/>
        <v>8</v>
      </c>
      <c r="H17" s="55">
        <f t="shared" si="1"/>
        <v>36.425578105</v>
      </c>
      <c r="I17" s="55"/>
      <c r="K17" s="55"/>
      <c r="L17" s="55"/>
      <c r="M17" s="55"/>
    </row>
    <row r="18" spans="1:13" s="8" customFormat="1" ht="12.75">
      <c r="A18" s="280">
        <f>IF(ISNUMBER(C18)=FALSE,"",9)</f>
        <v>9</v>
      </c>
      <c r="B18" s="297" t="str">
        <f>IF(ISBLANK('Ekipni plasman'!B14)=TRUE,"",'Ekipni plasman'!B14)</f>
        <v>Bjelka GME Sunja</v>
      </c>
      <c r="C18" s="327">
        <f>IF(ISNUMBER('Ekipni plasman'!C14)=FALSE,"",'Ekipni plasman'!C14)</f>
        <v>39.5</v>
      </c>
      <c r="D18" s="349">
        <f>IF(ISNUMBER('Ekipni plasman'!D14)=FALSE,"",'Ekipni plasman'!D14)</f>
        <v>6485</v>
      </c>
      <c r="E18" s="349">
        <f>IF(ISNUMBER('Ekipni plasman'!E14)=FALSE,"",'Ekipni plasman'!E14)</f>
        <v>1790</v>
      </c>
      <c r="F18" s="282">
        <f>IF(ISNUMBER('Ekipni plasman'!F14)=FALSE,"",'Ekipni plasman'!F14)</f>
        <v>9</v>
      </c>
      <c r="G18" s="70">
        <f t="shared" si="0"/>
        <v>9</v>
      </c>
      <c r="H18" s="55">
        <f t="shared" si="1"/>
        <v>39.43514821</v>
      </c>
      <c r="I18" s="55"/>
      <c r="K18" s="55"/>
      <c r="L18" s="55"/>
      <c r="M18" s="55"/>
    </row>
    <row r="19" spans="1:13" s="8" customFormat="1" ht="12.75">
      <c r="A19" s="280">
        <f>IF(ISNUMBER(C19)=FALSE,"",10)</f>
        <v>10</v>
      </c>
      <c r="B19" s="297" t="str">
        <f>IF(ISBLANK('Ekipni plasman'!B15)=TRUE,"",'Ekipni plasman'!B15)</f>
        <v>Klen N.Gradiška</v>
      </c>
      <c r="C19" s="327">
        <f>IF(ISNUMBER('Ekipni plasman'!C15)=FALSE,"",'Ekipni plasman'!C15)</f>
        <v>42</v>
      </c>
      <c r="D19" s="349">
        <f>IF(ISNUMBER('Ekipni plasman'!D15)=FALSE,"",'Ekipni plasman'!D15)</f>
        <v>6380</v>
      </c>
      <c r="E19" s="349">
        <f>IF(ISNUMBER('Ekipni plasman'!E15)=FALSE,"",'Ekipni plasman'!E15)</f>
        <v>1953</v>
      </c>
      <c r="F19" s="282">
        <f>IF(ISNUMBER('Ekipni plasman'!F15)=FALSE,"",'Ekipni plasman'!F15)</f>
        <v>10</v>
      </c>
      <c r="G19" s="70">
        <f t="shared" si="0"/>
        <v>10</v>
      </c>
      <c r="H19" s="55">
        <f t="shared" si="1"/>
        <v>41.936198047</v>
      </c>
      <c r="I19" s="55"/>
      <c r="K19" s="55"/>
      <c r="L19" s="55"/>
      <c r="M19" s="55"/>
    </row>
    <row r="20" spans="1:13" s="8" customFormat="1" ht="12.75">
      <c r="A20" s="280">
        <f>IF(ISNUMBER(C20)=FALSE,"",11)</f>
        <v>11</v>
      </c>
      <c r="B20" s="297" t="str">
        <f>IF(ISBLANK('Ekipni plasman'!B16)=TRUE,"",'Ekipni plasman'!B16)</f>
        <v>Varaždin Varaždin</v>
      </c>
      <c r="C20" s="327">
        <f>IF(ISNUMBER('Ekipni plasman'!C16)=FALSE,"",'Ekipni plasman'!C16)</f>
        <v>44.5</v>
      </c>
      <c r="D20" s="349">
        <f>IF(ISNUMBER('Ekipni plasman'!D16)=FALSE,"",'Ekipni plasman'!D16)</f>
        <v>7434</v>
      </c>
      <c r="E20" s="349">
        <f>IF(ISNUMBER('Ekipni plasman'!E16)=FALSE,"",'Ekipni plasman'!E16)</f>
        <v>3700</v>
      </c>
      <c r="F20" s="282">
        <f>IF(ISNUMBER('Ekipni plasman'!F16)=FALSE,"",'Ekipni plasman'!F16)</f>
        <v>11</v>
      </c>
      <c r="G20" s="70">
        <f t="shared" si="0"/>
        <v>11</v>
      </c>
      <c r="H20" s="55">
        <f t="shared" si="1"/>
        <v>44.4256563</v>
      </c>
      <c r="I20" s="55"/>
      <c r="K20" s="55"/>
      <c r="L20" s="55"/>
      <c r="M20" s="55"/>
    </row>
    <row r="21" spans="1:13" s="8" customFormat="1" ht="12.75">
      <c r="A21" s="283">
        <f>IF(ISNUMBER(C21)=FALSE,"",12)</f>
        <v>12</v>
      </c>
      <c r="B21" s="293" t="str">
        <f>IF(ISBLANK('Ekipni plasman'!B17)=TRUE,"",'Ekipni plasman'!B17)</f>
        <v>Bjelovar Bjelovar</v>
      </c>
      <c r="C21" s="328">
        <f>IF(ISNUMBER('Ekipni plasman'!C17)=FALSE,"",'Ekipni plasman'!C17)</f>
        <v>46</v>
      </c>
      <c r="D21" s="350">
        <f>IF(ISNUMBER('Ekipni plasman'!D17)=FALSE,"",'Ekipni plasman'!D17)</f>
        <v>6476</v>
      </c>
      <c r="E21" s="350">
        <f>IF(ISNUMBER('Ekipni plasman'!E17)=FALSE,"",'Ekipni plasman'!E17)</f>
        <v>2320</v>
      </c>
      <c r="F21" s="285">
        <f>IF(ISNUMBER('Ekipni plasman'!F17)=FALSE,"",'Ekipni plasman'!F17)</f>
        <v>12</v>
      </c>
      <c r="G21" s="70">
        <f t="shared" si="0"/>
        <v>12</v>
      </c>
      <c r="H21" s="55">
        <f t="shared" si="1"/>
        <v>45.93523768</v>
      </c>
      <c r="I21" s="55"/>
      <c r="K21" s="55"/>
      <c r="L21" s="55"/>
      <c r="M21" s="55"/>
    </row>
    <row r="22" spans="1:13" s="8" customFormat="1" ht="12.75">
      <c r="A22" s="55"/>
      <c r="C22" s="55"/>
      <c r="D22" s="55"/>
      <c r="E22" s="55"/>
      <c r="F22" s="55"/>
      <c r="G22" s="55"/>
      <c r="H22" s="55"/>
      <c r="I22" s="55"/>
      <c r="J22" s="55"/>
      <c r="K22" s="55"/>
      <c r="L22" s="55"/>
      <c r="M22" s="55"/>
    </row>
    <row r="23" spans="1:13" s="8" customFormat="1" ht="12.75">
      <c r="A23" s="55"/>
      <c r="C23" s="55"/>
      <c r="D23" s="55"/>
      <c r="E23" s="55"/>
      <c r="F23" s="55"/>
      <c r="G23" s="55"/>
      <c r="H23" s="55"/>
      <c r="I23" s="55"/>
      <c r="J23" s="55"/>
      <c r="K23" s="55"/>
      <c r="L23" s="55"/>
      <c r="M23" s="55"/>
    </row>
    <row r="24" spans="1:13" s="8" customFormat="1" ht="12.75">
      <c r="A24" s="55"/>
      <c r="C24" s="55"/>
      <c r="D24" s="55"/>
      <c r="E24" s="55"/>
      <c r="F24" s="55"/>
      <c r="G24" s="55"/>
      <c r="H24" s="55"/>
      <c r="I24" s="55"/>
      <c r="J24" s="55"/>
      <c r="K24" s="55"/>
      <c r="L24" s="55"/>
      <c r="M24" s="55"/>
    </row>
    <row r="25" spans="1:13" s="8" customFormat="1" ht="12.75">
      <c r="A25" s="55"/>
      <c r="C25" s="55"/>
      <c r="D25" s="55"/>
      <c r="E25" s="55"/>
      <c r="F25" s="55"/>
      <c r="G25" s="55"/>
      <c r="H25" s="55"/>
      <c r="I25" s="55"/>
      <c r="J25" s="55"/>
      <c r="K25" s="55"/>
      <c r="L25" s="55"/>
      <c r="M25" s="55"/>
    </row>
    <row r="26" spans="1:13" s="8" customFormat="1" ht="12.75">
      <c r="A26" s="55"/>
      <c r="C26" s="55"/>
      <c r="D26" s="55"/>
      <c r="E26" s="55"/>
      <c r="F26" s="55"/>
      <c r="G26" s="55"/>
      <c r="H26" s="55"/>
      <c r="I26" s="55"/>
      <c r="J26" s="55"/>
      <c r="K26" s="55"/>
      <c r="L26" s="55"/>
      <c r="M26" s="55"/>
    </row>
    <row r="27" spans="1:13" s="8" customFormat="1" ht="12.75">
      <c r="A27" s="55"/>
      <c r="C27" s="55"/>
      <c r="D27" s="55"/>
      <c r="E27" s="55"/>
      <c r="F27" s="55"/>
      <c r="G27" s="55"/>
      <c r="H27" s="55"/>
      <c r="I27" s="55"/>
      <c r="J27" s="55"/>
      <c r="K27" s="55"/>
      <c r="L27" s="55"/>
      <c r="M27" s="55"/>
    </row>
    <row r="28" spans="1:7" s="8" customFormat="1" ht="12.75">
      <c r="A28" s="55"/>
      <c r="C28" s="55"/>
      <c r="D28" s="55"/>
      <c r="E28" s="55"/>
      <c r="F28" s="55"/>
      <c r="G28" s="55"/>
    </row>
    <row r="29" spans="1:7" s="8" customFormat="1" ht="12.75">
      <c r="A29" s="55"/>
      <c r="C29" s="55"/>
      <c r="D29" s="55"/>
      <c r="E29" s="55"/>
      <c r="F29" s="55"/>
      <c r="G29" s="55"/>
    </row>
    <row r="30" spans="1:7" s="8" customFormat="1" ht="12.75">
      <c r="A30" s="55"/>
      <c r="C30" s="55"/>
      <c r="D30" s="55"/>
      <c r="E30" s="55"/>
      <c r="F30" s="55"/>
      <c r="G30" s="55"/>
    </row>
    <row r="31" spans="1:7" s="8" customFormat="1" ht="12.75">
      <c r="A31" s="55"/>
      <c r="C31" s="55"/>
      <c r="D31" s="55"/>
      <c r="E31" s="55"/>
      <c r="F31" s="55"/>
      <c r="G31" s="55"/>
    </row>
    <row r="32" spans="1:7" s="8" customFormat="1" ht="12.75">
      <c r="A32" s="55"/>
      <c r="C32" s="55"/>
      <c r="D32" s="55"/>
      <c r="E32" s="55"/>
      <c r="F32" s="55"/>
      <c r="G32" s="55"/>
    </row>
    <row r="33" spans="1:7" s="8" customFormat="1" ht="12.75">
      <c r="A33" s="55"/>
      <c r="C33" s="55"/>
      <c r="D33" s="55"/>
      <c r="E33" s="55"/>
      <c r="F33" s="55"/>
      <c r="G33" s="55"/>
    </row>
    <row r="34" spans="1:7" s="8" customFormat="1" ht="12.75">
      <c r="A34" s="55"/>
      <c r="C34" s="55"/>
      <c r="D34" s="55"/>
      <c r="E34" s="55"/>
      <c r="F34" s="55"/>
      <c r="G34" s="55"/>
    </row>
    <row r="35" spans="1:7" s="8" customFormat="1" ht="12.75">
      <c r="A35" s="55"/>
      <c r="C35" s="55"/>
      <c r="D35" s="55"/>
      <c r="E35" s="55"/>
      <c r="F35" s="55"/>
      <c r="G35" s="55"/>
    </row>
    <row r="36" spans="1:7" s="8" customFormat="1" ht="12.75">
      <c r="A36" s="55"/>
      <c r="C36" s="55"/>
      <c r="D36" s="55"/>
      <c r="E36" s="55"/>
      <c r="F36" s="55"/>
      <c r="G36" s="55"/>
    </row>
    <row r="37" spans="1:7" s="8" customFormat="1" ht="12.75">
      <c r="A37" s="55"/>
      <c r="C37" s="55"/>
      <c r="D37" s="55"/>
      <c r="E37" s="55"/>
      <c r="F37" s="55"/>
      <c r="G37" s="55"/>
    </row>
    <row r="38" spans="1:7" s="8" customFormat="1" ht="12.75">
      <c r="A38" s="55"/>
      <c r="C38" s="55"/>
      <c r="D38" s="55"/>
      <c r="E38" s="55"/>
      <c r="F38" s="55"/>
      <c r="G38" s="55"/>
    </row>
    <row r="39" spans="1:7" s="8" customFormat="1" ht="12.75">
      <c r="A39" s="55"/>
      <c r="C39" s="55"/>
      <c r="D39" s="55"/>
      <c r="E39" s="55"/>
      <c r="F39" s="55"/>
      <c r="G39" s="55"/>
    </row>
    <row r="40" spans="1:7" s="8" customFormat="1" ht="12.75">
      <c r="A40" s="55"/>
      <c r="C40" s="55"/>
      <c r="D40" s="55"/>
      <c r="E40" s="55"/>
      <c r="F40" s="55"/>
      <c r="G40" s="55"/>
    </row>
    <row r="41" spans="1:7" s="8" customFormat="1" ht="12.75">
      <c r="A41" s="55"/>
      <c r="C41" s="55"/>
      <c r="D41" s="55"/>
      <c r="E41" s="55"/>
      <c r="F41" s="55"/>
      <c r="G41" s="55"/>
    </row>
    <row r="42" spans="1:7" s="8" customFormat="1" ht="12.75">
      <c r="A42" s="55"/>
      <c r="C42" s="55"/>
      <c r="D42" s="55"/>
      <c r="E42" s="55"/>
      <c r="F42" s="55"/>
      <c r="G42" s="55"/>
    </row>
    <row r="43" spans="1:7" s="8" customFormat="1" ht="12.75">
      <c r="A43" s="55"/>
      <c r="C43" s="55"/>
      <c r="D43" s="55"/>
      <c r="E43" s="55"/>
      <c r="F43" s="55"/>
      <c r="G43" s="55"/>
    </row>
    <row r="44" spans="1:7" s="8" customFormat="1" ht="12.75">
      <c r="A44" s="55"/>
      <c r="C44" s="55"/>
      <c r="D44" s="55"/>
      <c r="E44" s="55"/>
      <c r="F44" s="55"/>
      <c r="G44" s="55"/>
    </row>
    <row r="45" spans="1:7" s="8" customFormat="1" ht="12.75">
      <c r="A45" s="55"/>
      <c r="C45" s="55"/>
      <c r="D45" s="55"/>
      <c r="E45" s="55"/>
      <c r="F45" s="55"/>
      <c r="G45" s="55"/>
    </row>
    <row r="46" spans="1:7" s="8" customFormat="1" ht="12.75">
      <c r="A46" s="55"/>
      <c r="C46" s="55"/>
      <c r="D46" s="55"/>
      <c r="E46" s="55"/>
      <c r="F46" s="55"/>
      <c r="G46" s="55"/>
    </row>
    <row r="47" spans="1:7" s="8" customFormat="1" ht="12.75">
      <c r="A47" s="55"/>
      <c r="C47" s="55"/>
      <c r="D47" s="55"/>
      <c r="E47" s="55"/>
      <c r="F47" s="55"/>
      <c r="G47" s="55"/>
    </row>
    <row r="48" spans="1:7" s="8" customFormat="1" ht="12.75">
      <c r="A48" s="55"/>
      <c r="C48" s="55"/>
      <c r="D48" s="55"/>
      <c r="E48" s="55"/>
      <c r="F48" s="55"/>
      <c r="G48" s="55"/>
    </row>
    <row r="49" spans="1:7" s="8" customFormat="1" ht="12.75">
      <c r="A49" s="55"/>
      <c r="C49" s="55"/>
      <c r="D49" s="55"/>
      <c r="E49" s="55"/>
      <c r="F49" s="55"/>
      <c r="G49" s="55"/>
    </row>
    <row r="50" spans="1:7" s="8" customFormat="1" ht="12.75">
      <c r="A50" s="55"/>
      <c r="C50" s="55"/>
      <c r="D50" s="55"/>
      <c r="E50" s="55"/>
      <c r="F50" s="55"/>
      <c r="G50" s="55"/>
    </row>
    <row r="51" spans="1:7" s="8" customFormat="1" ht="12.75">
      <c r="A51" s="55"/>
      <c r="C51" s="55"/>
      <c r="D51" s="55"/>
      <c r="E51" s="55"/>
      <c r="F51" s="55"/>
      <c r="G51" s="55"/>
    </row>
    <row r="52" spans="1:7" s="8" customFormat="1" ht="12.75">
      <c r="A52" s="55"/>
      <c r="C52" s="55"/>
      <c r="D52" s="55"/>
      <c r="E52" s="55"/>
      <c r="F52" s="55"/>
      <c r="G52" s="55"/>
    </row>
    <row r="53" spans="1:7" s="8" customFormat="1" ht="12.75">
      <c r="A53" s="55"/>
      <c r="C53" s="55"/>
      <c r="D53" s="55"/>
      <c r="E53" s="55"/>
      <c r="F53" s="55"/>
      <c r="G53" s="55"/>
    </row>
    <row r="54" spans="1:7" s="8" customFormat="1" ht="12.75">
      <c r="A54" s="230"/>
      <c r="B54" s="231"/>
      <c r="C54" s="230"/>
      <c r="D54" s="230"/>
      <c r="E54" s="230"/>
      <c r="F54" s="230"/>
      <c r="G54" s="55"/>
    </row>
    <row r="55" spans="1:7" s="8" customFormat="1" ht="12.75">
      <c r="A55" s="55"/>
      <c r="C55" s="55"/>
      <c r="D55" s="55"/>
      <c r="E55" s="55"/>
      <c r="F55" s="55"/>
      <c r="G55" s="55"/>
    </row>
    <row r="56" spans="1:7" s="8" customFormat="1" ht="12.75">
      <c r="A56" s="55"/>
      <c r="C56" s="55"/>
      <c r="D56" s="55"/>
      <c r="E56" s="55"/>
      <c r="F56" s="55"/>
      <c r="G56" s="55"/>
    </row>
    <row r="57" s="8" customFormat="1" ht="12.75">
      <c r="G57" s="55"/>
    </row>
    <row r="58" spans="1:7" s="8" customFormat="1" ht="12.75">
      <c r="A58" s="55"/>
      <c r="C58" s="55"/>
      <c r="D58" s="55"/>
      <c r="E58" s="55"/>
      <c r="F58" s="55"/>
      <c r="G58" s="55"/>
    </row>
    <row r="59" spans="1:7" s="8" customFormat="1" ht="12.75">
      <c r="A59" s="55"/>
      <c r="C59" s="55"/>
      <c r="D59" s="55"/>
      <c r="E59" s="55"/>
      <c r="F59" s="55"/>
      <c r="G59" s="55"/>
    </row>
    <row r="60" spans="1:7" s="8" customFormat="1" ht="12.75">
      <c r="A60" s="55"/>
      <c r="C60" s="55"/>
      <c r="D60" s="55"/>
      <c r="E60" s="55"/>
      <c r="F60" s="55"/>
      <c r="G60" s="55"/>
    </row>
    <row r="61" spans="1:7" s="8" customFormat="1" ht="12.75">
      <c r="A61" s="55"/>
      <c r="C61" s="55"/>
      <c r="D61" s="55"/>
      <c r="E61" s="55"/>
      <c r="F61" s="55"/>
      <c r="G61" s="55"/>
    </row>
    <row r="62" spans="1:7" s="8" customFormat="1" ht="12.75">
      <c r="A62" s="55"/>
      <c r="C62" s="55"/>
      <c r="D62" s="55"/>
      <c r="E62" s="55"/>
      <c r="F62" s="55"/>
      <c r="G62" s="55"/>
    </row>
    <row r="63" spans="1:7" s="8" customFormat="1" ht="12.75">
      <c r="A63" s="55"/>
      <c r="C63" s="55"/>
      <c r="D63" s="55"/>
      <c r="E63" s="55"/>
      <c r="F63" s="55"/>
      <c r="G63" s="55"/>
    </row>
    <row r="64" spans="1:13" s="8" customFormat="1" ht="12.75">
      <c r="A64" s="55"/>
      <c r="C64" s="55"/>
      <c r="D64" s="55"/>
      <c r="E64" s="55"/>
      <c r="F64" s="55"/>
      <c r="G64" s="55"/>
      <c r="H64" s="55"/>
      <c r="I64" s="55"/>
      <c r="J64" s="55"/>
      <c r="K64" s="55"/>
      <c r="L64" s="55"/>
      <c r="M64" s="55"/>
    </row>
  </sheetData>
  <sheetProtection password="C7E2" sheet="1" objects="1" scenarios="1"/>
  <printOptions horizontalCentered="1"/>
  <pageMargins left="0.984251968503937" right="0.984251968503937" top="0.7874015748031497" bottom="0.984251968503937" header="0.6299212598425197" footer="0.4724409448818898"/>
  <pageSetup horizontalDpi="300" verticalDpi="300" orientation="portrait" paperSize="9" r:id="rId4"/>
  <headerFooter alignWithMargins="0">
    <oddFooter>&amp;C&amp;"Arial,Kurziv"&amp;12&amp;XProgram za izračun rezultata i provođenje natjecanja</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Sheet49">
    <tabColor indexed="13"/>
  </sheetPr>
  <dimension ref="A1:K70"/>
  <sheetViews>
    <sheetView showRowColHeaders="0" zoomScalePageLayoutView="0" workbookViewId="0" topLeftCell="A71">
      <selection activeCell="A1" sqref="A1:IV70"/>
    </sheetView>
  </sheetViews>
  <sheetFormatPr defaultColWidth="9.140625" defaultRowHeight="12.75"/>
  <cols>
    <col min="1" max="1" width="16.7109375" style="0" bestFit="1" customWidth="1"/>
    <col min="2" max="2" width="18.7109375" style="0" bestFit="1" customWidth="1"/>
    <col min="3" max="3" width="7.28125" style="0" customWidth="1"/>
    <col min="4" max="4" width="7.140625" style="0" customWidth="1"/>
    <col min="5" max="5" width="8.57421875" style="47" customWidth="1"/>
    <col min="6" max="6" width="9.00390625" style="0" customWidth="1"/>
    <col min="7" max="8" width="11.00390625" style="0" customWidth="1"/>
    <col min="9" max="9" width="9.421875" style="62" hidden="1" customWidth="1"/>
    <col min="10" max="10" width="11.421875" style="0" hidden="1" customWidth="1"/>
    <col min="11" max="11" width="9.140625" style="0" hidden="1" customWidth="1"/>
  </cols>
  <sheetData>
    <row r="1" spans="3:11" ht="12.75" hidden="1">
      <c r="C1" s="77" t="s">
        <v>101</v>
      </c>
      <c r="K1" s="16"/>
    </row>
    <row r="2" ht="12.75" hidden="1">
      <c r="C2" s="77" t="str">
        <f>IF(ISNONTEXT('Organizacija natjecanja'!H2)=TRUE,"",'Organizacija natjecanja'!H2)</f>
        <v>KUP "BLJESAK"</v>
      </c>
    </row>
    <row r="3" ht="12.75" hidden="1">
      <c r="E3" t="str">
        <f>IF(ISNONTEXT('Organizacija natjecanja'!H5)=TRUE,"",'Organizacija natjecanja'!H5)</f>
        <v>Lipik, 28.04.2009.g.</v>
      </c>
    </row>
    <row r="4" spans="1:8" ht="12.75" hidden="1">
      <c r="A4" s="63"/>
      <c r="G4" s="49"/>
      <c r="H4" s="49"/>
    </row>
    <row r="5" spans="1:11" ht="38.25" hidden="1">
      <c r="A5" s="64" t="s">
        <v>64</v>
      </c>
      <c r="B5" s="64" t="s">
        <v>103</v>
      </c>
      <c r="C5" s="59" t="s">
        <v>23</v>
      </c>
      <c r="D5" s="59" t="s">
        <v>24</v>
      </c>
      <c r="E5" s="51" t="s">
        <v>82</v>
      </c>
      <c r="F5" s="14" t="s">
        <v>102</v>
      </c>
      <c r="G5" s="65" t="s">
        <v>104</v>
      </c>
      <c r="H5" s="65" t="s">
        <v>165</v>
      </c>
      <c r="I5" s="509" t="s">
        <v>163</v>
      </c>
      <c r="J5" s="509"/>
      <c r="K5" s="509"/>
    </row>
    <row r="6" spans="1:11" ht="12.75" hidden="1">
      <c r="A6" s="16" t="str">
        <f>IF(ISNONTEXT('Sektorski plasman'!D78)=TRUE,"",'Sektorski plasman'!D78)</f>
        <v>Ivan Kovač</v>
      </c>
      <c r="B6" s="16" t="str">
        <f>IF(AND(ISTEXT('Sektorski plasman'!D78)=TRUE,ISNUMBER(F6)=FALSE),"",'Sektorski plasman'!E78)</f>
        <v>Korana Karlovac</v>
      </c>
      <c r="C6" s="57">
        <f>IF(ISNUMBER('Sektorski plasman'!C78)=FALSE,"",'Sektorski plasman'!C78)</f>
        <v>1</v>
      </c>
      <c r="D6" s="57" t="str">
        <f>IF(ISNUMBER(F6)=FALSE,"","E")</f>
        <v>E</v>
      </c>
      <c r="E6" s="47">
        <f>IF(AND(ISNUMBER('Sektorski plasman'!A78)=TRUE,ISNUMBER(C6)=TRUE),'Sektorski plasman'!A78,"")</f>
        <v>1</v>
      </c>
      <c r="F6" s="57">
        <f>IF(ISNUMBER('Sektorski plasman'!B78)=FALSE,"",'Sektorski plasman'!B78)</f>
        <v>5000</v>
      </c>
      <c r="G6" s="56">
        <f>IF(AND(ISNUMBER(E6)=TRUE,ISNUMBER(F6)=TRUE),I6,"")</f>
        <v>1</v>
      </c>
      <c r="H6" s="56">
        <f>IF(ISNUMBER(G6)=TRUE,VLOOKUP(B6,'Upis rezultata A sektora'!$D$2:$G$13,4,FALSE),"")</f>
        <v>1</v>
      </c>
      <c r="I6" s="61">
        <f>IF(ISNUMBER(E6)=FALSE,"",RANK(J6,$J$6:$J$65,1))</f>
        <v>1</v>
      </c>
      <c r="J6">
        <f>IF(ISNUMBER(E6)=FALSE,"",E6-K6/100000)</f>
        <v>0.95</v>
      </c>
      <c r="K6">
        <f>IF(ISNUMBER(F6)=FALSE,0,F6)</f>
        <v>5000</v>
      </c>
    </row>
    <row r="7" spans="1:11" ht="12.75" hidden="1">
      <c r="A7" s="16" t="str">
        <f>IF(ISNONTEXT('Sektorski plasman'!D61)=TRUE,"",'Sektorski plasman'!D61)</f>
        <v>Damir Jauševac</v>
      </c>
      <c r="B7" s="16" t="str">
        <f>IF(AND(ISTEXT('Sektorski plasman'!D61)=TRUE,ISNUMBER(F7)=FALSE),"",'Sektorski plasman'!E61)</f>
        <v>Korana Karlovac</v>
      </c>
      <c r="C7" s="57">
        <f>IF(ISNUMBER('Sektorski plasman'!C61)=FALSE,"",'Sektorski plasman'!C61)</f>
        <v>1</v>
      </c>
      <c r="D7" s="57" t="str">
        <f>IF(ISNUMBER(F7)=FALSE,"","D")</f>
        <v>D</v>
      </c>
      <c r="E7" s="47">
        <f>IF(AND(ISNUMBER('Sektorski plasman'!A61)=TRUE,ISNUMBER(C7)=TRUE),'Sektorski plasman'!A61,"")</f>
        <v>1</v>
      </c>
      <c r="F7" s="57">
        <f>IF(ISNUMBER('Sektorski plasman'!B61)=FALSE,"",'Sektorski plasman'!B61)</f>
        <v>5000</v>
      </c>
      <c r="G7" s="56">
        <f>IF(AND(ISNUMBER(E7)=TRUE,ISNUMBER(F7)=TRUE),I7,"")</f>
        <v>1</v>
      </c>
      <c r="H7" s="56">
        <f>IF(ISNUMBER(G7)=TRUE,VLOOKUP(B7,'Upis rezultata A sektora'!$D$2:$G$13,4,FALSE),"")</f>
        <v>1</v>
      </c>
      <c r="I7" s="61">
        <f>IF(ISNUMBER(E7)=FALSE,"",RANK(J7,$J$6:$J$65,1))</f>
        <v>1</v>
      </c>
      <c r="J7">
        <f>IF(ISNUMBER(E7)=FALSE,"",E7-K7/100000)</f>
        <v>0.95</v>
      </c>
      <c r="K7">
        <f>IF(ISNUMBER(F7)=FALSE,0,F7)</f>
        <v>5000</v>
      </c>
    </row>
    <row r="8" spans="1:11" ht="12.75" hidden="1">
      <c r="A8" s="16" t="str">
        <f>IF(ISNONTEXT('Sektorski plasman'!D42)=TRUE,"",'Sektorski plasman'!D42)</f>
        <v>Hrvoje Kovač</v>
      </c>
      <c r="B8" s="16" t="str">
        <f>IF(AND(ISTEXT('Sektorski plasman'!D42)=TRUE,ISNUMBER(F8)=FALSE),"",'Sektorski plasman'!E42)</f>
        <v>Korana Karlovac</v>
      </c>
      <c r="C8" s="57">
        <f>IF(ISNUMBER('Sektorski plasman'!C42)=FALSE,"",'Sektorski plasman'!C42)</f>
        <v>1</v>
      </c>
      <c r="D8" s="57" t="str">
        <f>IF(ISNUMBER(F8)=FALSE,"","C")</f>
        <v>C</v>
      </c>
      <c r="E8" s="47">
        <f>IF(AND(ISNUMBER('Sektorski plasman'!A42)=TRUE,ISNUMBER(C8)=TRUE),'Sektorski plasman'!A42,"")</f>
        <v>1</v>
      </c>
      <c r="F8" s="57">
        <f>IF(ISNUMBER('Sektorski plasman'!B42)=FALSE,"",'Sektorski plasman'!B42)</f>
        <v>5000</v>
      </c>
      <c r="G8" s="56">
        <f>IF(AND(ISNUMBER(E8)=TRUE,ISNUMBER(F8)=TRUE),I8,"")</f>
        <v>1</v>
      </c>
      <c r="H8" s="56">
        <f>IF(ISNUMBER(G8)=TRUE,VLOOKUP(B8,'Upis rezultata A sektora'!$D$2:$G$13,4,FALSE),"")</f>
        <v>1</v>
      </c>
      <c r="I8" s="61">
        <f>IF(ISNUMBER(E8)=FALSE,"",RANK(J8,$J$6:$J$65,1))</f>
        <v>1</v>
      </c>
      <c r="J8">
        <f>IF(ISNUMBER(E8)=FALSE,"",E8-K8/100000)</f>
        <v>0.95</v>
      </c>
      <c r="K8">
        <f>IF(ISNUMBER(F8)=FALSE,0,F8)</f>
        <v>5000</v>
      </c>
    </row>
    <row r="9" spans="1:11" ht="12.75" hidden="1">
      <c r="A9" s="16" t="str">
        <f>IF(ISNONTEXT('Sektorski plasman'!D25)=TRUE,"",'Sektorski plasman'!D25)</f>
        <v>Nenad Viboh</v>
      </c>
      <c r="B9" s="16" t="str">
        <f>IF(AND(ISTEXT('Sektorski plasman'!D25)=TRUE,ISNUMBER(F9)=FALSE),"",'Sektorski plasman'!E25)</f>
        <v>Korana Karlovac</v>
      </c>
      <c r="C9" s="57">
        <f>IF(ISNUMBER('Sektorski plasman'!C25)=FALSE,"",'Sektorski plasman'!C25)</f>
        <v>1</v>
      </c>
      <c r="D9" s="57" t="str">
        <f>IF(ISNUMBER(F9)=FALSE,"","B")</f>
        <v>B</v>
      </c>
      <c r="E9" s="47">
        <f>IF(AND(ISNUMBER('Sektorski plasman'!A25)=TRUE,ISNUMBER(C9)=TRUE),'Sektorski plasman'!A25,"")</f>
        <v>1</v>
      </c>
      <c r="F9" s="57">
        <f>IF(ISNUMBER('Sektorski plasman'!B25)=FALSE,"",'Sektorski plasman'!B25)</f>
        <v>5000</v>
      </c>
      <c r="G9" s="56">
        <f>IF(AND(ISNUMBER(E9)=TRUE,ISNUMBER(F9)=TRUE),I9,"")</f>
        <v>1</v>
      </c>
      <c r="H9" s="56">
        <f>IF(ISNUMBER(G9)=TRUE,VLOOKUP(B9,'Upis rezultata A sektora'!$D$2:$G$13,4,FALSE),"")</f>
        <v>1</v>
      </c>
      <c r="I9" s="61">
        <f>IF(ISNUMBER(E9)=FALSE,"",RANK(J9,$J$6:$J$65,1))</f>
        <v>1</v>
      </c>
      <c r="J9">
        <f>IF(ISNUMBER(E9)=FALSE,"",E9-K9/100000)</f>
        <v>0.95</v>
      </c>
      <c r="K9">
        <f>IF(ISNUMBER(F9)=FALSE,0,F9)</f>
        <v>5000</v>
      </c>
    </row>
    <row r="10" spans="1:11" ht="12.75" hidden="1">
      <c r="A10" s="16" t="str">
        <f>IF(ISNONTEXT('Sektorski plasman'!D8)=TRUE,"",'Sektorski plasman'!D8)</f>
        <v>Elvis Šinko</v>
      </c>
      <c r="B10" s="16" t="str">
        <f>IF(AND(ISTEXT('Sektorski plasman'!D8)=TRUE,ISNUMBER(F10)=FALSE),"",'Sektorski plasman'!E8)</f>
        <v>Korana Karlovac</v>
      </c>
      <c r="C10" s="57">
        <f>IF(ISNUMBER('Sektorski plasman'!C8)=FALSE,"",'Sektorski plasman'!C8)</f>
        <v>1</v>
      </c>
      <c r="D10" s="57" t="str">
        <f>IF(ISNUMBER(F10)=FALSE,"","A")</f>
        <v>A</v>
      </c>
      <c r="E10" s="47">
        <f>IF(AND(ISNUMBER('Sektorski plasman'!A8)=TRUE,ISNUMBER(C10)=TRUE),'Sektorski plasman'!A8,"")</f>
        <v>1</v>
      </c>
      <c r="F10" s="57">
        <f>IF(ISNUMBER('Sektorski plasman'!B8)=FALSE,"",'Sektorski plasman'!B8)</f>
        <v>5000</v>
      </c>
      <c r="G10" s="56">
        <f>IF(AND(ISNUMBER(E10)=TRUE,ISNUMBER(F10)=TRUE),I10,"")</f>
        <v>1</v>
      </c>
      <c r="H10" s="56">
        <f>IF(ISNUMBER(G10)=TRUE,VLOOKUP(B10,'Upis rezultata A sektora'!$D$2:$G$13,4,FALSE),"")</f>
        <v>1</v>
      </c>
      <c r="I10" s="61">
        <f>IF(ISNUMBER(E10)=FALSE,"",RANK(J10,$J$6:$J$65,1))</f>
        <v>1</v>
      </c>
      <c r="J10">
        <f>IF(ISNUMBER(E10)=FALSE,"",E10-K10/100000)</f>
        <v>0.95</v>
      </c>
      <c r="K10">
        <f>IF(ISNUMBER(F10)=FALSE,0,F10)</f>
        <v>5000</v>
      </c>
    </row>
    <row r="11" spans="1:11" ht="12.75" hidden="1">
      <c r="A11" s="16" t="str">
        <f>IF(ISNONTEXT('Sektorski plasman'!D43)=TRUE,"",'Sektorski plasman'!D43)</f>
        <v>Stjepan Gorički</v>
      </c>
      <c r="B11" s="16" t="str">
        <f>IF(AND(ISTEXT('Sektorski plasman'!D43)=TRUE,ISNUMBER(F11)=FALSE),"",'Sektorski plasman'!E43)</f>
        <v>Rak Rakitje</v>
      </c>
      <c r="C11" s="57">
        <f>IF(ISNUMBER('Sektorski plasman'!C43)=FALSE,"",'Sektorski plasman'!C43)</f>
        <v>3</v>
      </c>
      <c r="D11" s="57" t="str">
        <f>IF(ISNUMBER(F11)=FALSE,"","C")</f>
        <v>C</v>
      </c>
      <c r="E11" s="47">
        <f>IF(AND(ISNUMBER('Sektorski plasman'!A43)=TRUE,ISNUMBER(C11)=TRUE),'Sektorski plasman'!A43,"")</f>
        <v>2</v>
      </c>
      <c r="F11" s="57">
        <f>IF(ISNUMBER('Sektorski plasman'!B43)=FALSE,"",'Sektorski plasman'!B43)</f>
        <v>4740</v>
      </c>
      <c r="G11" s="56">
        <f>IF(AND(ISNUMBER(E11)=TRUE,ISNUMBER(F11)=TRUE),I11,"")</f>
        <v>6</v>
      </c>
      <c r="H11" s="56">
        <f>IF(ISNUMBER(G11)=TRUE,VLOOKUP(B11,'Upis rezultata A sektora'!$D$2:$G$13,4,FALSE),"")</f>
        <v>3</v>
      </c>
      <c r="I11" s="61">
        <f>IF(ISNUMBER(E11)=FALSE,"",RANK(J11,$J$6:$J$65,1))</f>
        <v>6</v>
      </c>
      <c r="J11">
        <f>IF(ISNUMBER(E11)=FALSE,"",E11-K11/100000)</f>
        <v>1.9526</v>
      </c>
      <c r="K11">
        <f>IF(ISNUMBER(F11)=FALSE,0,F11)</f>
        <v>4740</v>
      </c>
    </row>
    <row r="12" spans="1:11" ht="12.75" hidden="1">
      <c r="A12" s="16" t="str">
        <f>IF(ISNONTEXT('Sektorski plasman'!D9)=TRUE,"",'Sektorski plasman'!D9)</f>
        <v>Goran Štargl</v>
      </c>
      <c r="B12" s="16" t="str">
        <f>IF(AND(ISTEXT('Sektorski plasman'!D9)=TRUE,ISNUMBER(F12)=FALSE),"",'Sektorski plasman'!E9)</f>
        <v>Štuka Torčec</v>
      </c>
      <c r="C12" s="57">
        <f>IF(ISNUMBER('Sektorski plasman'!C9)=FALSE,"",'Sektorski plasman'!C9)</f>
        <v>2</v>
      </c>
      <c r="D12" s="57" t="str">
        <f>IF(ISNUMBER(F12)=FALSE,"","A")</f>
        <v>A</v>
      </c>
      <c r="E12" s="47">
        <f>IF(AND(ISNUMBER('Sektorski plasman'!A9)=TRUE,ISNUMBER(C12)=TRUE),'Sektorski plasman'!A9,"")</f>
        <v>2</v>
      </c>
      <c r="F12" s="57">
        <f>IF(ISNUMBER('Sektorski plasman'!B9)=FALSE,"",'Sektorski plasman'!B9)</f>
        <v>4235</v>
      </c>
      <c r="G12" s="56">
        <f>IF(AND(ISNUMBER(E12)=TRUE,ISNUMBER(F12)=TRUE),I12,"")</f>
        <v>7</v>
      </c>
      <c r="H12" s="56">
        <f>IF(ISNUMBER(G12)=TRUE,VLOOKUP(B12,'Upis rezultata A sektora'!$D$2:$G$13,4,FALSE),"")</f>
        <v>2</v>
      </c>
      <c r="I12" s="61">
        <f>IF(ISNUMBER(E12)=FALSE,"",RANK(J12,$J$6:$J$65,1))</f>
        <v>7</v>
      </c>
      <c r="J12">
        <f>IF(ISNUMBER(E12)=FALSE,"",E12-K12/100000)</f>
        <v>1.9576500000000001</v>
      </c>
      <c r="K12">
        <f>IF(ISNUMBER(F12)=FALSE,0,F12)</f>
        <v>4235</v>
      </c>
    </row>
    <row r="13" spans="1:11" ht="12.75" hidden="1">
      <c r="A13" s="16" t="str">
        <f>IF(ISNONTEXT('Sektorski plasman'!D79)=TRUE,"",'Sektorski plasman'!D79)</f>
        <v>Ivan Finek</v>
      </c>
      <c r="B13" s="16" t="str">
        <f>IF(AND(ISTEXT('Sektorski plasman'!D79)=TRUE,ISNUMBER(F13)=FALSE),"",'Sektorski plasman'!E79)</f>
        <v>Jez Jasenovac</v>
      </c>
      <c r="C13" s="57">
        <f>IF(ISNUMBER('Sektorski plasman'!C79)=FALSE,"",'Sektorski plasman'!C79)</f>
        <v>12</v>
      </c>
      <c r="D13" s="57" t="str">
        <f>IF(ISNUMBER(F13)=FALSE,"","E")</f>
        <v>E</v>
      </c>
      <c r="E13" s="47">
        <f>IF(AND(ISNUMBER('Sektorski plasman'!A79)=TRUE,ISNUMBER(C13)=TRUE),'Sektorski plasman'!A79,"")</f>
        <v>2</v>
      </c>
      <c r="F13" s="57">
        <f>IF(ISNUMBER('Sektorski plasman'!B79)=FALSE,"",'Sektorski plasman'!B79)</f>
        <v>3800</v>
      </c>
      <c r="G13" s="56">
        <f>IF(AND(ISNUMBER(E13)=TRUE,ISNUMBER(F13)=TRUE),I13,"")</f>
        <v>8</v>
      </c>
      <c r="H13" s="56">
        <f>IF(ISNUMBER(G13)=TRUE,VLOOKUP(B13,'Upis rezultata A sektora'!$D$2:$G$13,4,FALSE),"")</f>
        <v>12</v>
      </c>
      <c r="I13" s="61">
        <f>IF(ISNUMBER(E13)=FALSE,"",RANK(J13,$J$6:$J$65,1))</f>
        <v>8</v>
      </c>
      <c r="J13">
        <f>IF(ISNUMBER(E13)=FALSE,"",E13-K13/100000)</f>
        <v>1.962</v>
      </c>
      <c r="K13">
        <f>IF(ISNUMBER(F13)=FALSE,0,F13)</f>
        <v>3800</v>
      </c>
    </row>
    <row r="14" spans="1:11" ht="12.75" hidden="1">
      <c r="A14" s="16" t="str">
        <f>IF(ISNONTEXT('Sektorski plasman'!D26)=TRUE,"",'Sektorski plasman'!D26)</f>
        <v>Marijan Kumić</v>
      </c>
      <c r="B14" s="16" t="str">
        <f>IF(AND(ISTEXT('Sektorski plasman'!D26)=TRUE,ISNUMBER(F14)=FALSE),"",'Sektorski plasman'!E26)</f>
        <v>Jez Jasenovac</v>
      </c>
      <c r="C14" s="57">
        <f>IF(ISNUMBER('Sektorski plasman'!C26)=FALSE,"",'Sektorski plasman'!C26)</f>
        <v>12</v>
      </c>
      <c r="D14" s="57" t="str">
        <f>IF(ISNUMBER(F14)=FALSE,"","B")</f>
        <v>B</v>
      </c>
      <c r="E14" s="47">
        <f>IF(AND(ISNUMBER('Sektorski plasman'!A26)=TRUE,ISNUMBER(C14)=TRUE),'Sektorski plasman'!A26,"")</f>
        <v>2</v>
      </c>
      <c r="F14" s="57">
        <f>IF(ISNUMBER('Sektorski plasman'!B26)=FALSE,"",'Sektorski plasman'!B26)</f>
        <v>3700</v>
      </c>
      <c r="G14" s="56">
        <f>IF(AND(ISNUMBER(E14)=TRUE,ISNUMBER(F14)=TRUE),I14,"")</f>
        <v>9</v>
      </c>
      <c r="H14" s="56">
        <f>IF(ISNUMBER(G14)=TRUE,VLOOKUP(B14,'Upis rezultata A sektora'!$D$2:$G$13,4,FALSE),"")</f>
        <v>12</v>
      </c>
      <c r="I14" s="61">
        <f>IF(ISNUMBER(E14)=FALSE,"",RANK(J14,$J$6:$J$65,1))</f>
        <v>9</v>
      </c>
      <c r="J14">
        <f>IF(ISNUMBER(E14)=FALSE,"",E14-K14/100000)</f>
        <v>1.963</v>
      </c>
      <c r="K14">
        <f>IF(ISNUMBER(F14)=FALSE,0,F14)</f>
        <v>3700</v>
      </c>
    </row>
    <row r="15" spans="1:11" ht="12.75" hidden="1">
      <c r="A15" s="16" t="str">
        <f>IF(ISNONTEXT('Sektorski plasman'!D62)=TRUE,"",'Sektorski plasman'!D62)</f>
        <v>Damir Škorić</v>
      </c>
      <c r="B15" s="16" t="str">
        <f>IF(AND(ISTEXT('Sektorski plasman'!D62)=TRUE,ISNUMBER(F15)=FALSE),"",'Sektorski plasman'!E62)</f>
        <v>Varaždin Varaždin</v>
      </c>
      <c r="C15" s="57">
        <f>IF(ISNUMBER('Sektorski plasman'!C62)=FALSE,"",'Sektorski plasman'!C62)</f>
        <v>5</v>
      </c>
      <c r="D15" s="57" t="str">
        <f>IF(ISNUMBER(F15)=FALSE,"","D")</f>
        <v>D</v>
      </c>
      <c r="E15" s="47">
        <f>IF(AND(ISNUMBER('Sektorski plasman'!A62)=TRUE,ISNUMBER(C15)=TRUE),'Sektorski plasman'!A62,"")</f>
        <v>2</v>
      </c>
      <c r="F15" s="57">
        <f>IF(ISNUMBER('Sektorski plasman'!B62)=FALSE,"",'Sektorski plasman'!B62)</f>
        <v>3700</v>
      </c>
      <c r="G15" s="56">
        <f>IF(AND(ISNUMBER(E15)=TRUE,ISNUMBER(F15)=TRUE),I15,"")</f>
        <v>9</v>
      </c>
      <c r="H15" s="56">
        <f>IF(ISNUMBER(G15)=TRUE,VLOOKUP(B15,'Upis rezultata A sektora'!$D$2:$G$13,4,FALSE),"")</f>
        <v>5</v>
      </c>
      <c r="I15" s="61">
        <f>IF(ISNUMBER(E15)=FALSE,"",RANK(J15,$J$6:$J$65,1))</f>
        <v>9</v>
      </c>
      <c r="J15">
        <f>IF(ISNUMBER(E15)=FALSE,"",E15-K15/100000)</f>
        <v>1.963</v>
      </c>
      <c r="K15">
        <f>IF(ISNUMBER(F15)=FALSE,0,F15)</f>
        <v>3700</v>
      </c>
    </row>
    <row r="16" spans="1:11" ht="12.75" hidden="1">
      <c r="A16" s="16" t="str">
        <f>IF(ISNONTEXT('Sektorski plasman'!D44)=TRUE,"",'Sektorski plasman'!D44)</f>
        <v>Siniša Finek</v>
      </c>
      <c r="B16" s="16" t="str">
        <f>IF(AND(ISTEXT('Sektorski plasman'!D44)=TRUE,ISNUMBER(F16)=FALSE),"",'Sektorski plasman'!E44)</f>
        <v>Jez Jasenovac</v>
      </c>
      <c r="C16" s="57">
        <f>IF(ISNUMBER('Sektorski plasman'!C44)=FALSE,"",'Sektorski plasman'!C44)</f>
        <v>12</v>
      </c>
      <c r="D16" s="57" t="str">
        <f>IF(ISNUMBER(F16)=FALSE,"","C")</f>
        <v>C</v>
      </c>
      <c r="E16" s="47">
        <f>IF(AND(ISNUMBER('Sektorski plasman'!A44)=TRUE,ISNUMBER(C16)=TRUE),'Sektorski plasman'!A44,"")</f>
        <v>3</v>
      </c>
      <c r="F16" s="57">
        <f>IF(ISNUMBER('Sektorski plasman'!B44)=FALSE,"",'Sektorski plasman'!B44)</f>
        <v>4500</v>
      </c>
      <c r="G16" s="56">
        <f>IF(AND(ISNUMBER(E16)=TRUE,ISNUMBER(F16)=TRUE),I16,"")</f>
        <v>11</v>
      </c>
      <c r="H16" s="56">
        <f>IF(ISNUMBER(G16)=TRUE,VLOOKUP(B16,'Upis rezultata A sektora'!$D$2:$G$13,4,FALSE),"")</f>
        <v>12</v>
      </c>
      <c r="I16" s="61">
        <f>IF(ISNUMBER(E16)=FALSE,"",RANK(J16,$J$6:$J$65,1))</f>
        <v>11</v>
      </c>
      <c r="J16">
        <f>IF(ISNUMBER(E16)=FALSE,"",E16-K16/100000)</f>
        <v>2.955</v>
      </c>
      <c r="K16">
        <f>IF(ISNUMBER(F16)=FALSE,0,F16)</f>
        <v>4500</v>
      </c>
    </row>
    <row r="17" spans="1:11" ht="12.75" hidden="1">
      <c r="A17" s="16" t="str">
        <f>IF(ISNONTEXT('Sektorski plasman'!D10)=TRUE,"",'Sektorski plasman'!D10)</f>
        <v>Mladen Kečkeš</v>
      </c>
      <c r="B17" s="16" t="str">
        <f>IF(AND(ISTEXT('Sektorski plasman'!D10)=TRUE,ISNUMBER(F17)=FALSE),"",'Sektorski plasman'!E10)</f>
        <v>Rak Rakitje</v>
      </c>
      <c r="C17" s="57">
        <f>IF(ISNUMBER('Sektorski plasman'!C10)=FALSE,"",'Sektorski plasman'!C10)</f>
        <v>3</v>
      </c>
      <c r="D17" s="57" t="str">
        <f>IF(ISNUMBER(F17)=FALSE,"","A")</f>
        <v>A</v>
      </c>
      <c r="E17" s="47">
        <f>IF(AND(ISNUMBER('Sektorski plasman'!A10)=TRUE,ISNUMBER(C17)=TRUE),'Sektorski plasman'!A10,"")</f>
        <v>3</v>
      </c>
      <c r="F17" s="57">
        <f>IF(ISNUMBER('Sektorski plasman'!B10)=FALSE,"",'Sektorski plasman'!B10)</f>
        <v>2978</v>
      </c>
      <c r="G17" s="56">
        <f>IF(AND(ISNUMBER(E17)=TRUE,ISNUMBER(F17)=TRUE),I17,"")</f>
        <v>12</v>
      </c>
      <c r="H17" s="56">
        <f>IF(ISNUMBER(G17)=TRUE,VLOOKUP(B17,'Upis rezultata A sektora'!$D$2:$G$13,4,FALSE),"")</f>
        <v>3</v>
      </c>
      <c r="I17" s="61">
        <f>IF(ISNUMBER(E17)=FALSE,"",RANK(J17,$J$6:$J$65,1))</f>
        <v>12</v>
      </c>
      <c r="J17">
        <f>IF(ISNUMBER(E17)=FALSE,"",E17-K17/100000)</f>
        <v>2.97022</v>
      </c>
      <c r="K17">
        <f>IF(ISNUMBER(F17)=FALSE,0,F17)</f>
        <v>2978</v>
      </c>
    </row>
    <row r="18" spans="1:11" ht="12.75" hidden="1">
      <c r="A18" s="16" t="str">
        <f>IF(ISNONTEXT('Sektorski plasman'!D63)=TRUE,"",'Sektorski plasman'!D63)</f>
        <v>Mario Akmačić</v>
      </c>
      <c r="B18" s="16" t="str">
        <f>IF(AND(ISTEXT('Sektorski plasman'!D63)=TRUE,ISNUMBER(F18)=FALSE),"",'Sektorski plasman'!E63)</f>
        <v>Jez Jasenovac</v>
      </c>
      <c r="C18" s="57">
        <f>IF(ISNUMBER('Sektorski plasman'!C63)=FALSE,"",'Sektorski plasman'!C63)</f>
        <v>12</v>
      </c>
      <c r="D18" s="57" t="str">
        <f>IF(ISNUMBER(F18)=FALSE,"","D")</f>
        <v>D</v>
      </c>
      <c r="E18" s="47">
        <f>IF(AND(ISNUMBER('Sektorski plasman'!A63)=TRUE,ISNUMBER(C18)=TRUE),'Sektorski plasman'!A63,"")</f>
        <v>3</v>
      </c>
      <c r="F18" s="57">
        <f>IF(ISNUMBER('Sektorski plasman'!B63)=FALSE,"",'Sektorski plasman'!B63)</f>
        <v>2970</v>
      </c>
      <c r="G18" s="56">
        <f>IF(AND(ISNUMBER(E18)=TRUE,ISNUMBER(F18)=TRUE),I18,"")</f>
        <v>13</v>
      </c>
      <c r="H18" s="56">
        <f>IF(ISNUMBER(G18)=TRUE,VLOOKUP(B18,'Upis rezultata A sektora'!$D$2:$G$13,4,FALSE),"")</f>
        <v>12</v>
      </c>
      <c r="I18" s="61">
        <f>IF(ISNUMBER(E18)=FALSE,"",RANK(J18,$J$6:$J$65,1))</f>
        <v>13</v>
      </c>
      <c r="J18">
        <f>IF(ISNUMBER(E18)=FALSE,"",E18-K18/100000)</f>
        <v>2.9703</v>
      </c>
      <c r="K18">
        <f>IF(ISNUMBER(F18)=FALSE,0,F18)</f>
        <v>2970</v>
      </c>
    </row>
    <row r="19" spans="1:11" ht="12.75" hidden="1">
      <c r="A19" s="16" t="str">
        <f>IF(ISNONTEXT('Sektorski plasman'!D27)=TRUE,"",'Sektorski plasman'!D27)</f>
        <v>Goran Matijašić</v>
      </c>
      <c r="B19" s="16" t="str">
        <f>IF(AND(ISTEXT('Sektorski plasman'!D27)=TRUE,ISNUMBER(F19)=FALSE),"",'Sektorski plasman'!E27)</f>
        <v>Štuka Torčec</v>
      </c>
      <c r="C19" s="57">
        <f>IF(ISNUMBER('Sektorski plasman'!C27)=FALSE,"",'Sektorski plasman'!C27)</f>
        <v>2</v>
      </c>
      <c r="D19" s="57" t="str">
        <f>IF(ISNUMBER(F19)=FALSE,"","B")</f>
        <v>B</v>
      </c>
      <c r="E19" s="47">
        <f>IF(AND(ISNUMBER('Sektorski plasman'!A27)=TRUE,ISNUMBER(C19)=TRUE),'Sektorski plasman'!A27,"")</f>
        <v>3</v>
      </c>
      <c r="F19" s="57">
        <f>IF(ISNUMBER('Sektorski plasman'!B27)=FALSE,"",'Sektorski plasman'!B27)</f>
        <v>2536</v>
      </c>
      <c r="G19" s="56">
        <f>IF(AND(ISNUMBER(E19)=TRUE,ISNUMBER(F19)=TRUE),I19,"")</f>
        <v>14</v>
      </c>
      <c r="H19" s="56">
        <f>IF(ISNUMBER(G19)=TRUE,VLOOKUP(B19,'Upis rezultata A sektora'!$D$2:$G$13,4,FALSE),"")</f>
        <v>2</v>
      </c>
      <c r="I19" s="61">
        <f>IF(ISNUMBER(E19)=FALSE,"",RANK(J19,$J$6:$J$65,1))</f>
        <v>14</v>
      </c>
      <c r="J19">
        <f>IF(ISNUMBER(E19)=FALSE,"",E19-K19/100000)</f>
        <v>2.97464</v>
      </c>
      <c r="K19">
        <f>IF(ISNUMBER(F19)=FALSE,0,F19)</f>
        <v>2536</v>
      </c>
    </row>
    <row r="20" spans="1:11" ht="12.75" hidden="1">
      <c r="A20" s="16" t="str">
        <f>IF(ISNONTEXT('Sektorski plasman'!D80)=TRUE,"",'Sektorski plasman'!D80)</f>
        <v>Josip Kutlić</v>
      </c>
      <c r="B20" s="16" t="str">
        <f>IF(AND(ISTEXT('Sektorski plasman'!D80)=TRUE,ISNUMBER(F20)=FALSE),"",'Sektorski plasman'!E80)</f>
        <v>Ilova Garešnica</v>
      </c>
      <c r="C20" s="57">
        <f>IF(ISNUMBER('Sektorski plasman'!C80)=FALSE,"",'Sektorski plasman'!C80)</f>
        <v>11</v>
      </c>
      <c r="D20" s="57" t="str">
        <f>IF(ISNUMBER(F20)=FALSE,"","E")</f>
        <v>E</v>
      </c>
      <c r="E20" s="47">
        <f>IF(AND(ISNUMBER('Sektorski plasman'!A80)=TRUE,ISNUMBER(C20)=TRUE),'Sektorski plasman'!A80,"")</f>
        <v>3.5</v>
      </c>
      <c r="F20" s="57">
        <f>IF(ISNUMBER('Sektorski plasman'!B80)=FALSE,"",'Sektorski plasman'!B80)</f>
        <v>1765</v>
      </c>
      <c r="G20" s="56">
        <f>IF(AND(ISNUMBER(E20)=TRUE,ISNUMBER(F20)=TRUE),I20,"")</f>
        <v>15</v>
      </c>
      <c r="H20" s="56">
        <f>IF(ISNUMBER(G20)=TRUE,VLOOKUP(B20,'Upis rezultata A sektora'!$D$2:$G$13,4,FALSE),"")</f>
        <v>11</v>
      </c>
      <c r="I20" s="61">
        <f>IF(ISNUMBER(E20)=FALSE,"",RANK(J20,$J$6:$J$65,1))</f>
        <v>15</v>
      </c>
      <c r="J20">
        <f>IF(ISNUMBER(E20)=FALSE,"",E20-K20/100000)</f>
        <v>3.48235</v>
      </c>
      <c r="K20">
        <f>IF(ISNUMBER(F20)=FALSE,0,F20)</f>
        <v>1765</v>
      </c>
    </row>
    <row r="21" spans="1:11" ht="12.75" hidden="1">
      <c r="A21" s="16" t="str">
        <f>IF(ISNONTEXT('Sektorski plasman'!D81)=TRUE,"",'Sektorski plasman'!D81)</f>
        <v>Zoran Štefanić</v>
      </c>
      <c r="B21" s="16" t="str">
        <f>IF(AND(ISTEXT('Sektorski plasman'!D81)=TRUE,ISNUMBER(F21)=FALSE),"",'Sektorski plasman'!E81)</f>
        <v>TPK Zagreb</v>
      </c>
      <c r="C21" s="57">
        <f>IF(ISNUMBER('Sektorski plasman'!C81)=FALSE,"",'Sektorski plasman'!C81)</f>
        <v>10</v>
      </c>
      <c r="D21" s="57" t="str">
        <f>IF(ISNUMBER(F21)=FALSE,"","E")</f>
        <v>E</v>
      </c>
      <c r="E21" s="47">
        <f>IF(AND(ISNUMBER('Sektorski plasman'!A81)=TRUE,ISNUMBER(C21)=TRUE),'Sektorski plasman'!A81,"")</f>
        <v>3.5</v>
      </c>
      <c r="F21" s="57">
        <f>IF(ISNUMBER('Sektorski plasman'!B81)=FALSE,"",'Sektorski plasman'!B81)</f>
        <v>1765</v>
      </c>
      <c r="G21" s="56">
        <f>IF(AND(ISNUMBER(E21)=TRUE,ISNUMBER(F21)=TRUE),I21,"")</f>
        <v>15</v>
      </c>
      <c r="H21" s="56">
        <f>IF(ISNUMBER(G21)=TRUE,VLOOKUP(B21,'Upis rezultata A sektora'!$D$2:$G$13,4,FALSE),"")</f>
        <v>10</v>
      </c>
      <c r="I21" s="61">
        <f>IF(ISNUMBER(E21)=FALSE,"",RANK(J21,$J$6:$J$65,1))</f>
        <v>15</v>
      </c>
      <c r="J21">
        <f>IF(ISNUMBER(E21)=FALSE,"",E21-K21/100000)</f>
        <v>3.48235</v>
      </c>
      <c r="K21">
        <f>IF(ISNUMBER(F21)=FALSE,0,F21)</f>
        <v>1765</v>
      </c>
    </row>
    <row r="22" spans="1:11" ht="12.75" hidden="1">
      <c r="A22" s="16" t="str">
        <f>IF(ISNONTEXT('Sektorski plasman'!D11)=TRUE,"",'Sektorski plasman'!D11)</f>
        <v>Zlatko Šapina</v>
      </c>
      <c r="B22" s="16" t="str">
        <f>IF(AND(ISTEXT('Sektorski plasman'!D11)=TRUE,ISNUMBER(F22)=FALSE),"",'Sektorski plasman'!E11)</f>
        <v>Ilova Garešnica</v>
      </c>
      <c r="C22" s="57">
        <f>IF(ISNUMBER('Sektorski plasman'!C11)=FALSE,"",'Sektorski plasman'!C11)</f>
        <v>11</v>
      </c>
      <c r="D22" s="57" t="str">
        <f>IF(ISNUMBER(F22)=FALSE,"","A")</f>
        <v>A</v>
      </c>
      <c r="E22" s="47">
        <f>IF(AND(ISNUMBER('Sektorski plasman'!A11)=TRUE,ISNUMBER(C22)=TRUE),'Sektorski plasman'!A11,"")</f>
        <v>4</v>
      </c>
      <c r="F22" s="57">
        <f>IF(ISNUMBER('Sektorski plasman'!B11)=FALSE,"",'Sektorski plasman'!B11)</f>
        <v>2800</v>
      </c>
      <c r="G22" s="56">
        <f>IF(AND(ISNUMBER(E22)=TRUE,ISNUMBER(F22)=TRUE),I22,"")</f>
        <v>17</v>
      </c>
      <c r="H22" s="56">
        <f>IF(ISNUMBER(G22)=TRUE,VLOOKUP(B22,'Upis rezultata A sektora'!$D$2:$G$13,4,FALSE),"")</f>
        <v>11</v>
      </c>
      <c r="I22" s="61">
        <f>IF(ISNUMBER(E22)=FALSE,"",RANK(J22,$J$6:$J$65,1))</f>
        <v>17</v>
      </c>
      <c r="J22">
        <f>IF(ISNUMBER(E22)=FALSE,"",E22-K22/100000)</f>
        <v>3.972</v>
      </c>
      <c r="K22">
        <f>IF(ISNUMBER(F22)=FALSE,0,F22)</f>
        <v>2800</v>
      </c>
    </row>
    <row r="23" spans="1:11" ht="12.75" hidden="1">
      <c r="A23" s="16" t="str">
        <f>IF(ISNONTEXT('Sektorski plasman'!D28)=TRUE,"",'Sektorski plasman'!D28)</f>
        <v>Martin Vrčković</v>
      </c>
      <c r="B23" s="16" t="str">
        <f>IF(AND(ISTEXT('Sektorski plasman'!D28)=TRUE,ISNUMBER(F23)=FALSE),"",'Sektorski plasman'!E28)</f>
        <v>Rak Rakitje</v>
      </c>
      <c r="C23" s="57">
        <f>IF(ISNUMBER('Sektorski plasman'!C28)=FALSE,"",'Sektorski plasman'!C28)</f>
        <v>3</v>
      </c>
      <c r="D23" s="57" t="str">
        <f>IF(ISNUMBER(F23)=FALSE,"","B")</f>
        <v>B</v>
      </c>
      <c r="E23" s="47">
        <f>IF(AND(ISNUMBER('Sektorski plasman'!A28)=TRUE,ISNUMBER(C23)=TRUE),'Sektorski plasman'!A28,"")</f>
        <v>4</v>
      </c>
      <c r="F23" s="57">
        <f>IF(ISNUMBER('Sektorski plasman'!B28)=FALSE,"",'Sektorski plasman'!B28)</f>
        <v>2452</v>
      </c>
      <c r="G23" s="56">
        <f>IF(AND(ISNUMBER(E23)=TRUE,ISNUMBER(F23)=TRUE),I23,"")</f>
        <v>18</v>
      </c>
      <c r="H23" s="56">
        <f>IF(ISNUMBER(G23)=TRUE,VLOOKUP(B23,'Upis rezultata A sektora'!$D$2:$G$13,4,FALSE),"")</f>
        <v>3</v>
      </c>
      <c r="I23" s="61">
        <f>IF(ISNUMBER(E23)=FALSE,"",RANK(J23,$J$6:$J$65,1))</f>
        <v>18</v>
      </c>
      <c r="J23">
        <f>IF(ISNUMBER(E23)=FALSE,"",E23-K23/100000)</f>
        <v>3.97548</v>
      </c>
      <c r="K23">
        <f>IF(ISNUMBER(F23)=FALSE,0,F23)</f>
        <v>2452</v>
      </c>
    </row>
    <row r="24" spans="1:11" ht="12.75" hidden="1">
      <c r="A24" s="16" t="str">
        <f>IF(ISNONTEXT('Sektorski plasman'!D45)=TRUE,"",'Sektorski plasman'!D45)</f>
        <v>Ljubo Matulin</v>
      </c>
      <c r="B24" s="16" t="str">
        <f>IF(AND(ISTEXT('Sektorski plasman'!D45)=TRUE,ISNUMBER(F24)=FALSE),"",'Sektorski plasman'!E45)</f>
        <v>Azzuro Varaždin</v>
      </c>
      <c r="C24" s="57">
        <f>IF(ISNUMBER('Sektorski plasman'!C45)=FALSE,"",'Sektorski plasman'!C45)</f>
        <v>6</v>
      </c>
      <c r="D24" s="57" t="str">
        <f>IF(ISNUMBER(F24)=FALSE,"","C")</f>
        <v>C</v>
      </c>
      <c r="E24" s="47">
        <f>IF(AND(ISNUMBER('Sektorski plasman'!A45)=TRUE,ISNUMBER(C24)=TRUE),'Sektorski plasman'!A45,"")</f>
        <v>4</v>
      </c>
      <c r="F24" s="57">
        <f>IF(ISNUMBER('Sektorski plasman'!B45)=FALSE,"",'Sektorski plasman'!B45)</f>
        <v>2005</v>
      </c>
      <c r="G24" s="56">
        <f>IF(AND(ISNUMBER(E24)=TRUE,ISNUMBER(F24)=TRUE),I24,"")</f>
        <v>19</v>
      </c>
      <c r="H24" s="56">
        <f>IF(ISNUMBER(G24)=TRUE,VLOOKUP(B24,'Upis rezultata A sektora'!$D$2:$G$13,4,FALSE),"")</f>
        <v>6</v>
      </c>
      <c r="I24" s="61">
        <f>IF(ISNUMBER(E24)=FALSE,"",RANK(J24,$J$6:$J$65,1))</f>
        <v>19</v>
      </c>
      <c r="J24">
        <f>IF(ISNUMBER(E24)=FALSE,"",E24-K24/100000)</f>
        <v>3.97995</v>
      </c>
      <c r="K24">
        <f>IF(ISNUMBER(F24)=FALSE,0,F24)</f>
        <v>2005</v>
      </c>
    </row>
    <row r="25" spans="1:11" ht="12.75" hidden="1">
      <c r="A25" s="16" t="str">
        <f>IF(ISNONTEXT('Sektorski plasman'!D64)=TRUE,"",'Sektorski plasman'!D64)</f>
        <v>Zdravko Vrbanek</v>
      </c>
      <c r="B25" s="16" t="str">
        <f>IF(AND(ISTEXT('Sektorski plasman'!D64)=TRUE,ISNUMBER(F25)=FALSE),"",'Sektorski plasman'!E64)</f>
        <v>Bjelka GME Sunja</v>
      </c>
      <c r="C25" s="57">
        <f>IF(ISNUMBER('Sektorski plasman'!C64)=FALSE,"",'Sektorski plasman'!C64)</f>
        <v>9</v>
      </c>
      <c r="D25" s="57" t="str">
        <f>IF(ISNUMBER(F25)=FALSE,"","D")</f>
        <v>D</v>
      </c>
      <c r="E25" s="47">
        <f>IF(AND(ISNUMBER('Sektorski plasman'!A64)=TRUE,ISNUMBER(C25)=TRUE),'Sektorski plasman'!A64,"")</f>
        <v>4</v>
      </c>
      <c r="F25" s="57">
        <f>IF(ISNUMBER('Sektorski plasman'!B64)=FALSE,"",'Sektorski plasman'!B64)</f>
        <v>1790</v>
      </c>
      <c r="G25" s="56">
        <f>IF(AND(ISNUMBER(E25)=TRUE,ISNUMBER(F25)=TRUE),I25,"")</f>
        <v>20</v>
      </c>
      <c r="H25" s="56">
        <f>IF(ISNUMBER(G25)=TRUE,VLOOKUP(B25,'Upis rezultata A sektora'!$D$2:$G$13,4,FALSE),"")</f>
        <v>9</v>
      </c>
      <c r="I25" s="61">
        <f>IF(ISNUMBER(E25)=FALSE,"",RANK(J25,$J$6:$J$65,1))</f>
        <v>20</v>
      </c>
      <c r="J25">
        <f>IF(ISNUMBER(E25)=FALSE,"",E25-K25/100000)</f>
        <v>3.9821</v>
      </c>
      <c r="K25">
        <f>IF(ISNUMBER(F25)=FALSE,0,F25)</f>
        <v>1790</v>
      </c>
    </row>
    <row r="26" spans="1:11" ht="12.75" hidden="1">
      <c r="A26" s="16" t="str">
        <f>IF(ISNONTEXT('Sektorski plasman'!D29)=TRUE,"",'Sektorski plasman'!D29)</f>
        <v>Vladimir Šuker</v>
      </c>
      <c r="B26" s="16" t="str">
        <f>IF(AND(ISTEXT('Sektorski plasman'!D29)=TRUE,ISNUMBER(F26)=FALSE),"",'Sektorski plasman'!E29)</f>
        <v>Bjelovar Bjelovar</v>
      </c>
      <c r="C26" s="57">
        <f>IF(ISNUMBER('Sektorski plasman'!C29)=FALSE,"",'Sektorski plasman'!C29)</f>
        <v>4</v>
      </c>
      <c r="D26" s="57" t="str">
        <f>IF(ISNUMBER(F26)=FALSE,"","B")</f>
        <v>B</v>
      </c>
      <c r="E26" s="47">
        <f>IF(AND(ISNUMBER('Sektorski plasman'!A29)=TRUE,ISNUMBER(C26)=TRUE),'Sektorski plasman'!A29,"")</f>
        <v>5</v>
      </c>
      <c r="F26" s="57">
        <f>IF(ISNUMBER('Sektorski plasman'!B29)=FALSE,"",'Sektorski plasman'!B29)</f>
        <v>2320</v>
      </c>
      <c r="G26" s="56">
        <f>IF(AND(ISNUMBER(E26)=TRUE,ISNUMBER(F26)=TRUE),I26,"")</f>
        <v>21</v>
      </c>
      <c r="H26" s="56">
        <f>IF(ISNUMBER(G26)=TRUE,VLOOKUP(B26,'Upis rezultata A sektora'!$D$2:$G$13,4,FALSE),"")</f>
        <v>4</v>
      </c>
      <c r="I26" s="61">
        <f>IF(ISNUMBER(E26)=FALSE,"",RANK(J26,$J$6:$J$65,1))</f>
        <v>21</v>
      </c>
      <c r="J26">
        <f>IF(ISNUMBER(E26)=FALSE,"",E26-K26/100000)</f>
        <v>4.9768</v>
      </c>
      <c r="K26">
        <f>IF(ISNUMBER(F26)=FALSE,0,F26)</f>
        <v>2320</v>
      </c>
    </row>
    <row r="27" spans="1:11" ht="12.75" hidden="1">
      <c r="A27" s="16" t="str">
        <f>IF(ISNONTEXT('Sektorski plasman'!D12)=TRUE,"",'Sektorski plasman'!D12)</f>
        <v>Dražen Bajzek</v>
      </c>
      <c r="B27" s="16" t="str">
        <f>IF(AND(ISTEXT('Sektorski plasman'!D12)=TRUE,ISNUMBER(F27)=FALSE),"",'Sektorski plasman'!E12)</f>
        <v>Azzuro Varaždin</v>
      </c>
      <c r="C27" s="57">
        <f>IF(ISNUMBER('Sektorski plasman'!C12)=FALSE,"",'Sektorski plasman'!C12)</f>
        <v>6</v>
      </c>
      <c r="D27" s="57" t="str">
        <f>IF(ISNUMBER(F27)=FALSE,"","A")</f>
        <v>A</v>
      </c>
      <c r="E27" s="47">
        <f>IF(AND(ISNUMBER('Sektorski plasman'!A12)=TRUE,ISNUMBER(C27)=TRUE),'Sektorski plasman'!A12,"")</f>
        <v>5</v>
      </c>
      <c r="F27" s="57">
        <f>IF(ISNUMBER('Sektorski plasman'!B12)=FALSE,"",'Sektorski plasman'!B12)</f>
        <v>2105</v>
      </c>
      <c r="G27" s="56">
        <f>IF(AND(ISNUMBER(E27)=TRUE,ISNUMBER(F27)=TRUE),I27,"")</f>
        <v>22</v>
      </c>
      <c r="H27" s="56">
        <f>IF(ISNUMBER(G27)=TRUE,VLOOKUP(B27,'Upis rezultata A sektora'!$D$2:$G$13,4,FALSE),"")</f>
        <v>6</v>
      </c>
      <c r="I27" s="61">
        <f>IF(ISNUMBER(E27)=FALSE,"",RANK(J27,$J$6:$J$65,1))</f>
        <v>22</v>
      </c>
      <c r="J27">
        <f>IF(ISNUMBER(E27)=FALSE,"",E27-K27/100000)</f>
        <v>4.97895</v>
      </c>
      <c r="K27">
        <f>IF(ISNUMBER(F27)=FALSE,0,F27)</f>
        <v>2105</v>
      </c>
    </row>
    <row r="28" spans="1:11" ht="12.75" hidden="1">
      <c r="A28" s="16" t="str">
        <f>IF(ISNONTEXT('Sektorski plasman'!D46)=TRUE,"",'Sektorski plasman'!D46)</f>
        <v>Ivan Fehir</v>
      </c>
      <c r="B28" s="16" t="str">
        <f>IF(AND(ISTEXT('Sektorski plasman'!D46)=TRUE,ISNUMBER(F28)=FALSE),"",'Sektorski plasman'!E46)</f>
        <v>Trnje-ŠR Zagreb</v>
      </c>
      <c r="C28" s="57">
        <f>IF(ISNUMBER('Sektorski plasman'!C46)=FALSE,"",'Sektorski plasman'!C46)</f>
        <v>7</v>
      </c>
      <c r="D28" s="57" t="str">
        <f>IF(ISNUMBER(F28)=FALSE,"","C")</f>
        <v>C</v>
      </c>
      <c r="E28" s="47">
        <f>IF(AND(ISNUMBER('Sektorski plasman'!A46)=TRUE,ISNUMBER(C28)=TRUE),'Sektorski plasman'!A46,"")</f>
        <v>5</v>
      </c>
      <c r="F28" s="57">
        <f>IF(ISNUMBER('Sektorski plasman'!B46)=FALSE,"",'Sektorski plasman'!B46)</f>
        <v>1790</v>
      </c>
      <c r="G28" s="56">
        <f>IF(AND(ISNUMBER(E28)=TRUE,ISNUMBER(F28)=TRUE),I28,"")</f>
        <v>23</v>
      </c>
      <c r="H28" s="56">
        <f>IF(ISNUMBER(G28)=TRUE,VLOOKUP(B28,'Upis rezultata A sektora'!$D$2:$G$13,4,FALSE),"")</f>
        <v>7</v>
      </c>
      <c r="I28" s="61">
        <f>IF(ISNUMBER(E28)=FALSE,"",RANK(J28,$J$6:$J$65,1))</f>
        <v>23</v>
      </c>
      <c r="J28">
        <f>IF(ISNUMBER(E28)=FALSE,"",E28-K28/100000)</f>
        <v>4.9821</v>
      </c>
      <c r="K28">
        <f>IF(ISNUMBER(F28)=FALSE,0,F28)</f>
        <v>1790</v>
      </c>
    </row>
    <row r="29" spans="1:11" ht="12.75" hidden="1">
      <c r="A29" s="16" t="str">
        <f>IF(ISNONTEXT('Sektorski plasman'!D82)=TRUE,"",'Sektorski plasman'!D82)</f>
        <v>Damir Jauševac</v>
      </c>
      <c r="B29" s="16" t="str">
        <f>IF(AND(ISTEXT('Sektorski plasman'!D82)=TRUE,ISNUMBER(F29)=FALSE),"",'Sektorski plasman'!E82)</f>
        <v>Bjelka GME Sunja</v>
      </c>
      <c r="C29" s="57">
        <f>IF(ISNUMBER('Sektorski plasman'!C82)=FALSE,"",'Sektorski plasman'!C82)</f>
        <v>9</v>
      </c>
      <c r="D29" s="57" t="str">
        <f>IF(ISNUMBER(F29)=FALSE,"","E")</f>
        <v>E</v>
      </c>
      <c r="E29" s="47">
        <f>IF(AND(ISNUMBER('Sektorski plasman'!A82)=TRUE,ISNUMBER(C29)=TRUE),'Sektorski plasman'!A82,"")</f>
        <v>5</v>
      </c>
      <c r="F29" s="57">
        <f>IF(ISNUMBER('Sektorski plasman'!B82)=FALSE,"",'Sektorski plasman'!B82)</f>
        <v>1498</v>
      </c>
      <c r="G29" s="56">
        <f>IF(AND(ISNUMBER(E29)=TRUE,ISNUMBER(F29)=TRUE),I29,"")</f>
        <v>24</v>
      </c>
      <c r="H29" s="56">
        <f>IF(ISNUMBER(G29)=TRUE,VLOOKUP(B29,'Upis rezultata A sektora'!$D$2:$G$13,4,FALSE),"")</f>
        <v>9</v>
      </c>
      <c r="I29" s="61">
        <f>IF(ISNUMBER(E29)=FALSE,"",RANK(J29,$J$6:$J$65,1))</f>
        <v>24</v>
      </c>
      <c r="J29">
        <f>IF(ISNUMBER(E29)=FALSE,"",E29-K29/100000)</f>
        <v>4.98502</v>
      </c>
      <c r="K29">
        <f>IF(ISNUMBER(F29)=FALSE,0,F29)</f>
        <v>1498</v>
      </c>
    </row>
    <row r="30" spans="1:11" ht="12.75" hidden="1">
      <c r="A30" s="16" t="str">
        <f>IF(ISNONTEXT('Sektorski plasman'!D65)=TRUE,"",'Sektorski plasman'!D65)</f>
        <v>Bengez Dražen</v>
      </c>
      <c r="B30" s="16" t="str">
        <f>IF(AND(ISTEXT('Sektorski plasman'!D65)=TRUE,ISNUMBER(F30)=FALSE),"",'Sektorski plasman'!E65)</f>
        <v>Ilova Garešnica</v>
      </c>
      <c r="C30" s="57">
        <f>IF(ISNUMBER('Sektorski plasman'!C65)=FALSE,"",'Sektorski plasman'!C65)</f>
        <v>11</v>
      </c>
      <c r="D30" s="57" t="str">
        <f>IF(ISNUMBER(F30)=FALSE,"","D")</f>
        <v>D</v>
      </c>
      <c r="E30" s="47">
        <f>IF(AND(ISNUMBER('Sektorski plasman'!A65)=TRUE,ISNUMBER(C30)=TRUE),'Sektorski plasman'!A65,"")</f>
        <v>5.5</v>
      </c>
      <c r="F30" s="57">
        <f>IF(ISNUMBER('Sektorski plasman'!B65)=FALSE,"",'Sektorski plasman'!B65)</f>
        <v>1765</v>
      </c>
      <c r="G30" s="56">
        <f>IF(AND(ISNUMBER(E30)=TRUE,ISNUMBER(F30)=TRUE),I30,"")</f>
        <v>25</v>
      </c>
      <c r="H30" s="56">
        <f>IF(ISNUMBER(G30)=TRUE,VLOOKUP(B30,'Upis rezultata A sektora'!$D$2:$G$13,4,FALSE),"")</f>
        <v>11</v>
      </c>
      <c r="I30" s="61">
        <f>IF(ISNUMBER(E30)=FALSE,"",RANK(J30,$J$6:$J$65,1))</f>
        <v>25</v>
      </c>
      <c r="J30">
        <f>IF(ISNUMBER(E30)=FALSE,"",E30-K30/100000)</f>
        <v>5.48235</v>
      </c>
      <c r="K30">
        <f>IF(ISNUMBER(F30)=FALSE,0,F30)</f>
        <v>1765</v>
      </c>
    </row>
    <row r="31" spans="1:11" ht="12.75" hidden="1">
      <c r="A31" s="16" t="str">
        <f>IF(ISNONTEXT('Sektorski plasman'!D66)=TRUE,"",'Sektorski plasman'!D66)</f>
        <v>Zlatko Kraljević</v>
      </c>
      <c r="B31" s="16" t="str">
        <f>IF(AND(ISTEXT('Sektorski plasman'!D66)=TRUE,ISNUMBER(F31)=FALSE),"",'Sektorski plasman'!E66)</f>
        <v>TPK Zagreb</v>
      </c>
      <c r="C31" s="57">
        <f>IF(ISNUMBER('Sektorski plasman'!C66)=FALSE,"",'Sektorski plasman'!C66)</f>
        <v>10</v>
      </c>
      <c r="D31" s="57" t="str">
        <f>IF(ISNUMBER(F31)=FALSE,"","D")</f>
        <v>D</v>
      </c>
      <c r="E31" s="47">
        <f>IF(AND(ISNUMBER('Sektorski plasman'!A66)=TRUE,ISNUMBER(C31)=TRUE),'Sektorski plasman'!A66,"")</f>
        <v>5.5</v>
      </c>
      <c r="F31" s="57">
        <f>IF(ISNUMBER('Sektorski plasman'!B66)=FALSE,"",'Sektorski plasman'!B66)</f>
        <v>1765</v>
      </c>
      <c r="G31" s="56">
        <f>IF(AND(ISNUMBER(E31)=TRUE,ISNUMBER(F31)=TRUE),I31,"")</f>
        <v>25</v>
      </c>
      <c r="H31" s="56">
        <f>IF(ISNUMBER(G31)=TRUE,VLOOKUP(B31,'Upis rezultata A sektora'!$D$2:$G$13,4,FALSE),"")</f>
        <v>10</v>
      </c>
      <c r="I31" s="61">
        <f>IF(ISNUMBER(E31)=FALSE,"",RANK(J31,$J$6:$J$65,1))</f>
        <v>25</v>
      </c>
      <c r="J31">
        <f>IF(ISNUMBER(E31)=FALSE,"",E31-K31/100000)</f>
        <v>5.48235</v>
      </c>
      <c r="K31">
        <f>IF(ISNUMBER(F31)=FALSE,0,F31)</f>
        <v>1765</v>
      </c>
    </row>
    <row r="32" spans="1:11" ht="12.75" hidden="1">
      <c r="A32" s="16" t="str">
        <f>IF(ISNONTEXT('Sektorski plasman'!D30)=TRUE,"",'Sektorski plasman'!D30)</f>
        <v>Mario Akmačić</v>
      </c>
      <c r="B32" s="16" t="str">
        <f>IF(AND(ISTEXT('Sektorski plasman'!D30)=TRUE,ISNUMBER(F32)=FALSE),"",'Sektorski plasman'!E30)</f>
        <v>Klen N.Gradiška</v>
      </c>
      <c r="C32" s="57">
        <f>IF(ISNUMBER('Sektorski plasman'!C30)=FALSE,"",'Sektorski plasman'!C30)</f>
        <v>8</v>
      </c>
      <c r="D32" s="57" t="str">
        <f>IF(ISNUMBER(F32)=FALSE,"","B")</f>
        <v>B</v>
      </c>
      <c r="E32" s="47">
        <f>IF(AND(ISNUMBER('Sektorski plasman'!A30)=TRUE,ISNUMBER(C32)=TRUE),'Sektorski plasman'!A30,"")</f>
        <v>6</v>
      </c>
      <c r="F32" s="57">
        <f>IF(ISNUMBER('Sektorski plasman'!B30)=FALSE,"",'Sektorski plasman'!B30)</f>
        <v>1953</v>
      </c>
      <c r="G32" s="56">
        <f>IF(AND(ISNUMBER(E32)=TRUE,ISNUMBER(F32)=TRUE),I32,"")</f>
        <v>27</v>
      </c>
      <c r="H32" s="56">
        <f>IF(ISNUMBER(G32)=TRUE,VLOOKUP(B32,'Upis rezultata A sektora'!$D$2:$G$13,4,FALSE),"")</f>
        <v>8</v>
      </c>
      <c r="I32" s="61">
        <f>IF(ISNUMBER(E32)=FALSE,"",RANK(J32,$J$6:$J$65,1))</f>
        <v>27</v>
      </c>
      <c r="J32">
        <f>IF(ISNUMBER(E32)=FALSE,"",E32-K32/100000)</f>
        <v>5.98047</v>
      </c>
      <c r="K32">
        <f>IF(ISNUMBER(F32)=FALSE,0,F32)</f>
        <v>1953</v>
      </c>
    </row>
    <row r="33" spans="1:11" ht="12.75" hidden="1">
      <c r="A33" s="16" t="str">
        <f>IF(ISNONTEXT('Sektorski plasman'!D13)=TRUE,"",'Sektorski plasman'!D13)</f>
        <v>Dalibor Agbaba</v>
      </c>
      <c r="B33" s="16" t="str">
        <f>IF(AND(ISTEXT('Sektorski plasman'!D13)=TRUE,ISNUMBER(F33)=FALSE),"",'Sektorski plasman'!E13)</f>
        <v>TPK Zagreb</v>
      </c>
      <c r="C33" s="57">
        <f>IF(ISNUMBER('Sektorski plasman'!C13)=FALSE,"",'Sektorski plasman'!C13)</f>
        <v>10</v>
      </c>
      <c r="D33" s="57" t="str">
        <f>IF(ISNUMBER(F33)=FALSE,"","A")</f>
        <v>A</v>
      </c>
      <c r="E33" s="47">
        <f>IF(AND(ISNUMBER('Sektorski plasman'!A13)=TRUE,ISNUMBER(C33)=TRUE),'Sektorski plasman'!A13,"")</f>
        <v>6</v>
      </c>
      <c r="F33" s="57">
        <f>IF(ISNUMBER('Sektorski plasman'!B13)=FALSE,"",'Sektorski plasman'!B13)</f>
        <v>1765</v>
      </c>
      <c r="G33" s="56">
        <f>IF(AND(ISNUMBER(E33)=TRUE,ISNUMBER(F33)=TRUE),I33,"")</f>
        <v>28</v>
      </c>
      <c r="H33" s="56">
        <f>IF(ISNUMBER(G33)=TRUE,VLOOKUP(B33,'Upis rezultata A sektora'!$D$2:$G$13,4,FALSE),"")</f>
        <v>10</v>
      </c>
      <c r="I33" s="61">
        <f>IF(ISNUMBER(E33)=FALSE,"",RANK(J33,$J$6:$J$65,1))</f>
        <v>28</v>
      </c>
      <c r="J33">
        <f>IF(ISNUMBER(E33)=FALSE,"",E33-K33/100000)</f>
        <v>5.98235</v>
      </c>
      <c r="K33">
        <f>IF(ISNUMBER(F33)=FALSE,0,F33)</f>
        <v>1765</v>
      </c>
    </row>
    <row r="34" spans="1:11" ht="12.75" hidden="1">
      <c r="A34" s="16" t="str">
        <f>IF(ISNONTEXT('Sektorski plasman'!D83)=TRUE,"",'Sektorski plasman'!D83)</f>
        <v>Stiven Palijan</v>
      </c>
      <c r="B34" s="16" t="str">
        <f>IF(AND(ISTEXT('Sektorski plasman'!D83)=TRUE,ISNUMBER(F34)=FALSE),"",'Sektorski plasman'!E83)</f>
        <v>Klen N.Gradiška</v>
      </c>
      <c r="C34" s="57">
        <f>IF(ISNUMBER('Sektorski plasman'!C83)=FALSE,"",'Sektorski plasman'!C83)</f>
        <v>8</v>
      </c>
      <c r="D34" s="57" t="str">
        <f>IF(ISNUMBER(F34)=FALSE,"","E")</f>
        <v>E</v>
      </c>
      <c r="E34" s="47">
        <f>IF(AND(ISNUMBER('Sektorski plasman'!A83)=TRUE,ISNUMBER(C34)=TRUE),'Sektorski plasman'!A83,"")</f>
        <v>6</v>
      </c>
      <c r="F34" s="57">
        <f>IF(ISNUMBER('Sektorski plasman'!B83)=FALSE,"",'Sektorski plasman'!B83)</f>
        <v>1497</v>
      </c>
      <c r="G34" s="56">
        <f>IF(AND(ISNUMBER(E34)=TRUE,ISNUMBER(F34)=TRUE),I34,"")</f>
        <v>29</v>
      </c>
      <c r="H34" s="56">
        <f>IF(ISNUMBER(G34)=TRUE,VLOOKUP(B34,'Upis rezultata A sektora'!$D$2:$G$13,4,FALSE),"")</f>
        <v>8</v>
      </c>
      <c r="I34" s="61">
        <f>IF(ISNUMBER(E34)=FALSE,"",RANK(J34,$J$6:$J$65,1))</f>
        <v>29</v>
      </c>
      <c r="J34">
        <f>IF(ISNUMBER(E34)=FALSE,"",E34-K34/100000)</f>
        <v>5.98503</v>
      </c>
      <c r="K34">
        <f>IF(ISNUMBER(F34)=FALSE,0,F34)</f>
        <v>1497</v>
      </c>
    </row>
    <row r="35" spans="1:11" ht="12.75" hidden="1">
      <c r="A35" s="16" t="str">
        <f>IF(ISNONTEXT('Sektorski plasman'!D47)=TRUE,"",'Sektorski plasman'!D47)</f>
        <v>Dražen Červeni</v>
      </c>
      <c r="B35" s="16" t="str">
        <f>IF(AND(ISTEXT('Sektorski plasman'!D47)=TRUE,ISNUMBER(F35)=FALSE),"",'Sektorski plasman'!E47)</f>
        <v>Ilova Garešnica</v>
      </c>
      <c r="C35" s="57">
        <f>IF(ISNUMBER('Sektorski plasman'!C47)=FALSE,"",'Sektorski plasman'!C47)</f>
        <v>11</v>
      </c>
      <c r="D35" s="57" t="str">
        <f>IF(ISNUMBER(F35)=FALSE,"","C")</f>
        <v>C</v>
      </c>
      <c r="E35" s="47">
        <f>IF(AND(ISNUMBER('Sektorski plasman'!A47)=TRUE,ISNUMBER(C35)=TRUE),'Sektorski plasman'!A47,"")</f>
        <v>6.5</v>
      </c>
      <c r="F35" s="57">
        <f>IF(ISNUMBER('Sektorski plasman'!B47)=FALSE,"",'Sektorski plasman'!B47)</f>
        <v>1765</v>
      </c>
      <c r="G35" s="56">
        <f>IF(AND(ISNUMBER(E35)=TRUE,ISNUMBER(F35)=TRUE),I35,"")</f>
        <v>30</v>
      </c>
      <c r="H35" s="56">
        <f>IF(ISNUMBER(G35)=TRUE,VLOOKUP(B35,'Upis rezultata A sektora'!$D$2:$G$13,4,FALSE),"")</f>
        <v>11</v>
      </c>
      <c r="I35" s="61">
        <f>IF(ISNUMBER(E35)=FALSE,"",RANK(J35,$J$6:$J$65,1))</f>
        <v>30</v>
      </c>
      <c r="J35">
        <f>IF(ISNUMBER(E35)=FALSE,"",E35-K35/100000)</f>
        <v>6.48235</v>
      </c>
      <c r="K35">
        <f>IF(ISNUMBER(F35)=FALSE,0,F35)</f>
        <v>1765</v>
      </c>
    </row>
    <row r="36" spans="1:11" ht="12.75" hidden="1">
      <c r="A36" s="16" t="str">
        <f>IF(ISNONTEXT('Sektorski plasman'!D48)=TRUE,"",'Sektorski plasman'!D48)</f>
        <v>Zlatko Poparić</v>
      </c>
      <c r="B36" s="16" t="str">
        <f>IF(AND(ISTEXT('Sektorski plasman'!D48)=TRUE,ISNUMBER(F36)=FALSE),"",'Sektorski plasman'!E48)</f>
        <v>TPK Zagreb</v>
      </c>
      <c r="C36" s="57">
        <f>IF(ISNUMBER('Sektorski plasman'!C48)=FALSE,"",'Sektorski plasman'!C48)</f>
        <v>10</v>
      </c>
      <c r="D36" s="57" t="str">
        <f>IF(ISNUMBER(F36)=FALSE,"","C")</f>
        <v>C</v>
      </c>
      <c r="E36" s="47">
        <f>IF(AND(ISNUMBER('Sektorski plasman'!A48)=TRUE,ISNUMBER(C36)=TRUE),'Sektorski plasman'!A48,"")</f>
        <v>6.5</v>
      </c>
      <c r="F36" s="57">
        <f>IF(ISNUMBER('Sektorski plasman'!B48)=FALSE,"",'Sektorski plasman'!B48)</f>
        <v>1765</v>
      </c>
      <c r="G36" s="56">
        <f>IF(AND(ISNUMBER(E36)=TRUE,ISNUMBER(F36)=TRUE),I36,"")</f>
        <v>30</v>
      </c>
      <c r="H36" s="56">
        <f>IF(ISNUMBER(G36)=TRUE,VLOOKUP(B36,'Upis rezultata A sektora'!$D$2:$G$13,4,FALSE),"")</f>
        <v>10</v>
      </c>
      <c r="I36" s="61">
        <f>IF(ISNUMBER(E36)=FALSE,"",RANK(J36,$J$6:$J$65,1))</f>
        <v>30</v>
      </c>
      <c r="J36">
        <f>IF(ISNUMBER(E36)=FALSE,"",E36-K36/100000)</f>
        <v>6.48235</v>
      </c>
      <c r="K36">
        <f>IF(ISNUMBER(F36)=FALSE,0,F36)</f>
        <v>1765</v>
      </c>
    </row>
    <row r="37" spans="1:11" ht="12.75" hidden="1">
      <c r="A37" s="16" t="str">
        <f>IF(ISNONTEXT('Sektorski plasman'!D31)=TRUE,"",'Sektorski plasman'!D31)</f>
        <v>Željko Raženj</v>
      </c>
      <c r="B37" s="16" t="str">
        <f>IF(AND(ISTEXT('Sektorski plasman'!D31)=TRUE,ISNUMBER(F37)=FALSE),"",'Sektorski plasman'!E31)</f>
        <v>Trnje-ŠR Zagreb</v>
      </c>
      <c r="C37" s="57">
        <f>IF(ISNUMBER('Sektorski plasman'!C31)=FALSE,"",'Sektorski plasman'!C31)</f>
        <v>7</v>
      </c>
      <c r="D37" s="57" t="str">
        <f>IF(ISNUMBER(F37)=FALSE,"","B")</f>
        <v>B</v>
      </c>
      <c r="E37" s="47">
        <f>IF(AND(ISNUMBER('Sektorski plasman'!A31)=TRUE,ISNUMBER(C37)=TRUE),'Sektorski plasman'!A31,"")</f>
        <v>7</v>
      </c>
      <c r="F37" s="57">
        <f>IF(ISNUMBER('Sektorski plasman'!B31)=FALSE,"",'Sektorski plasman'!B31)</f>
        <v>1895</v>
      </c>
      <c r="G37" s="56">
        <f>IF(AND(ISNUMBER(E37)=TRUE,ISNUMBER(F37)=TRUE),I37,"")</f>
        <v>32</v>
      </c>
      <c r="H37" s="56">
        <f>IF(ISNUMBER(G37)=TRUE,VLOOKUP(B37,'Upis rezultata A sektora'!$D$2:$G$13,4,FALSE),"")</f>
        <v>7</v>
      </c>
      <c r="I37" s="61">
        <f>IF(ISNUMBER(E37)=FALSE,"",RANK(J37,$J$6:$J$65,1))</f>
        <v>32</v>
      </c>
      <c r="J37">
        <f>IF(ISNUMBER(E37)=FALSE,"",E37-K37/100000)</f>
        <v>6.98105</v>
      </c>
      <c r="K37">
        <f>IF(ISNUMBER(F37)=FALSE,0,F37)</f>
        <v>1895</v>
      </c>
    </row>
    <row r="38" spans="1:11" ht="12.75" hidden="1">
      <c r="A38" s="16" t="str">
        <f>IF(ISNONTEXT('Sektorski plasman'!D14)=TRUE,"",'Sektorski plasman'!D14)</f>
        <v>Mladen Meseš</v>
      </c>
      <c r="B38" s="16" t="str">
        <f>IF(AND(ISTEXT('Sektorski plasman'!D14)=TRUE,ISNUMBER(F38)=FALSE),"",'Sektorski plasman'!E14)</f>
        <v>Jez Jasenovac</v>
      </c>
      <c r="C38" s="57">
        <f>IF(ISNUMBER('Sektorski plasman'!C14)=FALSE,"",'Sektorski plasman'!C14)</f>
        <v>12</v>
      </c>
      <c r="D38" s="57" t="str">
        <f>IF(ISNUMBER(F38)=FALSE,"","A")</f>
        <v>A</v>
      </c>
      <c r="E38" s="47">
        <f>IF(AND(ISNUMBER('Sektorski plasman'!A14)=TRUE,ISNUMBER(C38)=TRUE),'Sektorski plasman'!A14,"")</f>
        <v>7</v>
      </c>
      <c r="F38" s="57">
        <f>IF(ISNUMBER('Sektorski plasman'!B14)=FALSE,"",'Sektorski plasman'!B14)</f>
        <v>1680</v>
      </c>
      <c r="G38" s="56">
        <f>IF(AND(ISNUMBER(E38)=TRUE,ISNUMBER(F38)=TRUE),I38,"")</f>
        <v>33</v>
      </c>
      <c r="H38" s="56">
        <f>IF(ISNUMBER(G38)=TRUE,VLOOKUP(B38,'Upis rezultata A sektora'!$D$2:$G$13,4,FALSE),"")</f>
        <v>12</v>
      </c>
      <c r="I38" s="61">
        <f>IF(ISNUMBER(E38)=FALSE,"",RANK(J38,$J$6:$J$65,1))</f>
        <v>33</v>
      </c>
      <c r="J38">
        <f>IF(ISNUMBER(E38)=FALSE,"",E38-K38/100000)</f>
        <v>6.9832</v>
      </c>
      <c r="K38">
        <f>IF(ISNUMBER(F38)=FALSE,0,F38)</f>
        <v>1680</v>
      </c>
    </row>
    <row r="39" spans="1:11" ht="12.75" hidden="1">
      <c r="A39" s="16" t="str">
        <f>IF(ISNONTEXT('Sektorski plasman'!D67)=TRUE,"",'Sektorski plasman'!D67)</f>
        <v>Tihomir Vukić</v>
      </c>
      <c r="B39" s="16" t="str">
        <f>IF(AND(ISTEXT('Sektorski plasman'!D67)=TRUE,ISNUMBER(F39)=FALSE),"",'Sektorski plasman'!E67)</f>
        <v>Trnje-ŠR Zagreb</v>
      </c>
      <c r="C39" s="57">
        <f>IF(ISNUMBER('Sektorski plasman'!C67)=FALSE,"",'Sektorski plasman'!C67)</f>
        <v>7</v>
      </c>
      <c r="D39" s="57" t="str">
        <f>IF(ISNUMBER(F39)=FALSE,"","D")</f>
        <v>D</v>
      </c>
      <c r="E39" s="47">
        <f>IF(AND(ISNUMBER('Sektorski plasman'!A67)=TRUE,ISNUMBER(C39)=TRUE),'Sektorski plasman'!A67,"")</f>
        <v>7</v>
      </c>
      <c r="F39" s="57">
        <f>IF(ISNUMBER('Sektorski plasman'!B67)=FALSE,"",'Sektorski plasman'!B67)</f>
        <v>1498</v>
      </c>
      <c r="G39" s="56">
        <f>IF(AND(ISNUMBER(E39)=TRUE,ISNUMBER(F39)=TRUE),I39,"")</f>
        <v>34</v>
      </c>
      <c r="H39" s="56">
        <f>IF(ISNUMBER(G39)=TRUE,VLOOKUP(B39,'Upis rezultata A sektora'!$D$2:$G$13,4,FALSE),"")</f>
        <v>7</v>
      </c>
      <c r="I39" s="61">
        <f>IF(ISNUMBER(E39)=FALSE,"",RANK(J39,$J$6:$J$65,1))</f>
        <v>34</v>
      </c>
      <c r="J39">
        <f>IF(ISNUMBER(E39)=FALSE,"",E39-K39/100000)</f>
        <v>6.98502</v>
      </c>
      <c r="K39">
        <f>IF(ISNUMBER(F39)=FALSE,0,F39)</f>
        <v>1498</v>
      </c>
    </row>
    <row r="40" spans="1:11" ht="12.75" hidden="1">
      <c r="A40" s="16" t="str">
        <f>IF(ISNONTEXT('Sektorski plasman'!D84)=TRUE,"",'Sektorski plasman'!D84)</f>
        <v>Goran Abramović</v>
      </c>
      <c r="B40" s="16" t="str">
        <f>IF(AND(ISTEXT('Sektorski plasman'!D84)=TRUE,ISNUMBER(F40)=FALSE),"",'Sektorski plasman'!E84)</f>
        <v>Trnje-ŠR Zagreb</v>
      </c>
      <c r="C40" s="57">
        <f>IF(ISNUMBER('Sektorski plasman'!C84)=FALSE,"",'Sektorski plasman'!C84)</f>
        <v>7</v>
      </c>
      <c r="D40" s="57" t="str">
        <f>IF(ISNUMBER(F40)=FALSE,"","E")</f>
        <v>E</v>
      </c>
      <c r="E40" s="47">
        <f>IF(AND(ISNUMBER('Sektorski plasman'!A84)=TRUE,ISNUMBER(C40)=TRUE),'Sektorski plasman'!A84,"")</f>
        <v>7</v>
      </c>
      <c r="F40" s="57">
        <f>IF(ISNUMBER('Sektorski plasman'!B84)=FALSE,"",'Sektorski plasman'!B84)</f>
        <v>1354</v>
      </c>
      <c r="G40" s="56">
        <f>IF(AND(ISNUMBER(E40)=TRUE,ISNUMBER(F40)=TRUE),I40,"")</f>
        <v>35</v>
      </c>
      <c r="H40" s="56">
        <f>IF(ISNUMBER(G40)=TRUE,VLOOKUP(B40,'Upis rezultata A sektora'!$D$2:$G$13,4,FALSE),"")</f>
        <v>7</v>
      </c>
      <c r="I40" s="61">
        <f>IF(ISNUMBER(E40)=FALSE,"",RANK(J40,$J$6:$J$65,1))</f>
        <v>35</v>
      </c>
      <c r="J40">
        <f>IF(ISNUMBER(E40)=FALSE,"",E40-K40/100000)</f>
        <v>6.98646</v>
      </c>
      <c r="K40">
        <f>IF(ISNUMBER(F40)=FALSE,0,F40)</f>
        <v>1354</v>
      </c>
    </row>
    <row r="41" spans="1:11" ht="12.75" hidden="1">
      <c r="A41" s="16" t="str">
        <f>IF(ISNONTEXT('Sektorski plasman'!D15)=TRUE,"",'Sektorski plasman'!D15)</f>
        <v>Domagoj Ceković</v>
      </c>
      <c r="B41" s="16" t="str">
        <f>IF(AND(ISTEXT('Sektorski plasman'!D15)=TRUE,ISNUMBER(F41)=FALSE),"",'Sektorski plasman'!E15)</f>
        <v>Bjelka GME Sunja</v>
      </c>
      <c r="C41" s="57">
        <f>IF(ISNUMBER('Sektorski plasman'!C15)=FALSE,"",'Sektorski plasman'!C15)</f>
        <v>9</v>
      </c>
      <c r="D41" s="57" t="str">
        <f>IF(ISNUMBER(F41)=FALSE,"","A")</f>
        <v>A</v>
      </c>
      <c r="E41" s="47">
        <f>IF(AND(ISNUMBER('Sektorski plasman'!A15)=TRUE,ISNUMBER(C41)=TRUE),'Sektorski plasman'!A15,"")</f>
        <v>8</v>
      </c>
      <c r="F41" s="57">
        <f>IF(ISNUMBER('Sektorski plasman'!B15)=FALSE,"",'Sektorski plasman'!B15)</f>
        <v>1470</v>
      </c>
      <c r="G41" s="56">
        <f>IF(AND(ISNUMBER(E41)=TRUE,ISNUMBER(F41)=TRUE),I41,"")</f>
        <v>36</v>
      </c>
      <c r="H41" s="56">
        <f>IF(ISNUMBER(G41)=TRUE,VLOOKUP(B41,'Upis rezultata A sektora'!$D$2:$G$13,4,FALSE),"")</f>
        <v>9</v>
      </c>
      <c r="I41" s="61">
        <f>IF(ISNUMBER(E41)=FALSE,"",RANK(J41,$J$6:$J$65,1))</f>
        <v>36</v>
      </c>
      <c r="J41">
        <f>IF(ISNUMBER(E41)=FALSE,"",E41-K41/100000)</f>
        <v>7.9853</v>
      </c>
      <c r="K41">
        <f>IF(ISNUMBER(F41)=FALSE,0,F41)</f>
        <v>1470</v>
      </c>
    </row>
    <row r="42" spans="1:11" ht="12.75" hidden="1">
      <c r="A42" s="16" t="str">
        <f>IF(ISNONTEXT('Sektorski plasman'!D68)=TRUE,"",'Sektorski plasman'!D68)</f>
        <v>Mensur Rošić</v>
      </c>
      <c r="B42" s="16" t="str">
        <f>IF(AND(ISTEXT('Sektorski plasman'!D68)=TRUE,ISNUMBER(F42)=FALSE),"",'Sektorski plasman'!E68)</f>
        <v>Azzuro Varaždin</v>
      </c>
      <c r="C42" s="57">
        <f>IF(ISNUMBER('Sektorski plasman'!C68)=FALSE,"",'Sektorski plasman'!C68)</f>
        <v>6</v>
      </c>
      <c r="D42" s="57" t="str">
        <f>IF(ISNUMBER(F42)=FALSE,"","D")</f>
        <v>D</v>
      </c>
      <c r="E42" s="47">
        <f>IF(AND(ISNUMBER('Sektorski plasman'!A68)=TRUE,ISNUMBER(C42)=TRUE),'Sektorski plasman'!A68,"")</f>
        <v>8</v>
      </c>
      <c r="F42" s="57">
        <f>IF(ISNUMBER('Sektorski plasman'!B68)=FALSE,"",'Sektorski plasman'!B68)</f>
        <v>1354</v>
      </c>
      <c r="G42" s="56">
        <f>IF(AND(ISNUMBER(E42)=TRUE,ISNUMBER(F42)=TRUE),I42,"")</f>
        <v>37</v>
      </c>
      <c r="H42" s="56">
        <f>IF(ISNUMBER(G42)=TRUE,VLOOKUP(B42,'Upis rezultata A sektora'!$D$2:$G$13,4,FALSE),"")</f>
        <v>6</v>
      </c>
      <c r="I42" s="61">
        <f>IF(ISNUMBER(E42)=FALSE,"",RANK(J42,$J$6:$J$65,1))</f>
        <v>37</v>
      </c>
      <c r="J42">
        <f>IF(ISNUMBER(E42)=FALSE,"",E42-K42/100000)</f>
        <v>7.98646</v>
      </c>
      <c r="K42">
        <f>IF(ISNUMBER(F42)=FALSE,0,F42)</f>
        <v>1354</v>
      </c>
    </row>
    <row r="43" spans="1:11" ht="12.75" hidden="1">
      <c r="A43" s="16" t="str">
        <f>IF(ISNONTEXT('Sektorski plasman'!D49)=TRUE,"",'Sektorski plasman'!D49)</f>
        <v>Danijel Picer</v>
      </c>
      <c r="B43" s="16" t="str">
        <f>IF(AND(ISTEXT('Sektorski plasman'!D49)=TRUE,ISNUMBER(F43)=FALSE),"",'Sektorski plasman'!E49)</f>
        <v>Štuka Torčec</v>
      </c>
      <c r="C43" s="57">
        <f>IF(ISNUMBER('Sektorski plasman'!C49)=FALSE,"",'Sektorski plasman'!C49)</f>
        <v>2</v>
      </c>
      <c r="D43" s="57" t="str">
        <f>IF(ISNUMBER(F43)=FALSE,"","C")</f>
        <v>C</v>
      </c>
      <c r="E43" s="47">
        <f>IF(AND(ISNUMBER('Sektorski plasman'!A49)=TRUE,ISNUMBER(C43)=TRUE),'Sektorski plasman'!A49,"")</f>
        <v>8</v>
      </c>
      <c r="F43" s="57">
        <f>IF(ISNUMBER('Sektorski plasman'!B49)=FALSE,"",'Sektorski plasman'!B49)</f>
        <v>1354</v>
      </c>
      <c r="G43" s="56">
        <f>IF(AND(ISNUMBER(E43)=TRUE,ISNUMBER(F43)=TRUE),I43,"")</f>
        <v>37</v>
      </c>
      <c r="H43" s="56">
        <f>IF(ISNUMBER(G43)=TRUE,VLOOKUP(B43,'Upis rezultata A sektora'!$D$2:$G$13,4,FALSE),"")</f>
        <v>2</v>
      </c>
      <c r="I43" s="61">
        <f>IF(ISNUMBER(E43)=FALSE,"",RANK(J43,$J$6:$J$65,1))</f>
        <v>37</v>
      </c>
      <c r="J43">
        <f>IF(ISNUMBER(E43)=FALSE,"",E43-K43/100000)</f>
        <v>7.98646</v>
      </c>
      <c r="K43">
        <f>IF(ISNUMBER(F43)=FALSE,0,F43)</f>
        <v>1354</v>
      </c>
    </row>
    <row r="44" spans="1:11" ht="12.75" hidden="1">
      <c r="A44" s="16" t="str">
        <f>IF(ISNONTEXT('Sektorski plasman'!D32)=TRUE,"",'Sektorski plasman'!D32)</f>
        <v>Tomislav Duković</v>
      </c>
      <c r="B44" s="16" t="str">
        <f>IF(AND(ISTEXT('Sektorski plasman'!D32)=TRUE,ISNUMBER(F44)=FALSE),"",'Sektorski plasman'!E32)</f>
        <v>Ilova Garešnica</v>
      </c>
      <c r="C44" s="57">
        <f>IF(ISNUMBER('Sektorski plasman'!C32)=FALSE,"",'Sektorski plasman'!C32)</f>
        <v>11</v>
      </c>
      <c r="D44" s="57" t="str">
        <f>IF(ISNUMBER(F44)=FALSE,"","B")</f>
        <v>B</v>
      </c>
      <c r="E44" s="47">
        <f>IF(AND(ISNUMBER('Sektorski plasman'!A32)=TRUE,ISNUMBER(C44)=TRUE),'Sektorski plasman'!A32,"")</f>
        <v>8.5</v>
      </c>
      <c r="F44" s="57">
        <f>IF(ISNUMBER('Sektorski plasman'!B32)=FALSE,"",'Sektorski plasman'!B32)</f>
        <v>1765</v>
      </c>
      <c r="G44" s="56">
        <f>IF(AND(ISNUMBER(E44)=TRUE,ISNUMBER(F44)=TRUE),I44,"")</f>
        <v>39</v>
      </c>
      <c r="H44" s="56">
        <f>IF(ISNUMBER(G44)=TRUE,VLOOKUP(B44,'Upis rezultata A sektora'!$D$2:$G$13,4,FALSE),"")</f>
        <v>11</v>
      </c>
      <c r="I44" s="61">
        <f>IF(ISNUMBER(E44)=FALSE,"",RANK(J44,$J$6:$J$65,1))</f>
        <v>39</v>
      </c>
      <c r="J44">
        <f>IF(ISNUMBER(E44)=FALSE,"",E44-K44/100000)</f>
        <v>8.48235</v>
      </c>
      <c r="K44">
        <f>IF(ISNUMBER(F44)=FALSE,0,F44)</f>
        <v>1765</v>
      </c>
    </row>
    <row r="45" spans="1:11" ht="12.75" hidden="1">
      <c r="A45" s="16" t="str">
        <f>IF(ISNONTEXT('Sektorski plasman'!D33)=TRUE,"",'Sektorski plasman'!D33)</f>
        <v>Anđelo Orač</v>
      </c>
      <c r="B45" s="16" t="str">
        <f>IF(AND(ISTEXT('Sektorski plasman'!D33)=TRUE,ISNUMBER(F45)=FALSE),"",'Sektorski plasman'!E33)</f>
        <v>TPK Zagreb</v>
      </c>
      <c r="C45" s="57">
        <f>IF(ISNUMBER('Sektorski plasman'!C33)=FALSE,"",'Sektorski plasman'!C33)</f>
        <v>10</v>
      </c>
      <c r="D45" s="57" t="str">
        <f>IF(ISNUMBER(F45)=FALSE,"","B")</f>
        <v>B</v>
      </c>
      <c r="E45" s="47">
        <f>IF(AND(ISNUMBER('Sektorski plasman'!A33)=TRUE,ISNUMBER(C45)=TRUE),'Sektorski plasman'!A33,"")</f>
        <v>8.5</v>
      </c>
      <c r="F45" s="57">
        <f>IF(ISNUMBER('Sektorski plasman'!B33)=FALSE,"",'Sektorski plasman'!B33)</f>
        <v>1765</v>
      </c>
      <c r="G45" s="56">
        <f>IF(AND(ISNUMBER(E45)=TRUE,ISNUMBER(F45)=TRUE),I45,"")</f>
        <v>39</v>
      </c>
      <c r="H45" s="56">
        <f>IF(ISNUMBER(G45)=TRUE,VLOOKUP(B45,'Upis rezultata A sektora'!$D$2:$G$13,4,FALSE),"")</f>
        <v>10</v>
      </c>
      <c r="I45" s="61">
        <f>IF(ISNUMBER(E45)=FALSE,"",RANK(J45,$J$6:$J$65,1))</f>
        <v>39</v>
      </c>
      <c r="J45">
        <f>IF(ISNUMBER(E45)=FALSE,"",E45-K45/100000)</f>
        <v>8.48235</v>
      </c>
      <c r="K45">
        <f>IF(ISNUMBER(F45)=FALSE,0,F45)</f>
        <v>1765</v>
      </c>
    </row>
    <row r="46" spans="1:11" ht="12.75" hidden="1">
      <c r="A46" s="16" t="str">
        <f>IF(ISNONTEXT('Sektorski plasman'!D85)=TRUE,"",'Sektorski plasman'!D85)</f>
        <v>Davor Florijanić</v>
      </c>
      <c r="B46" s="16" t="str">
        <f>IF(AND(ISTEXT('Sektorski plasman'!D85)=TRUE,ISNUMBER(F46)=FALSE),"",'Sektorski plasman'!E85)</f>
        <v>Azzuro Varaždin</v>
      </c>
      <c r="C46" s="57">
        <f>IF(ISNUMBER('Sektorski plasman'!C85)=FALSE,"",'Sektorski plasman'!C85)</f>
        <v>6</v>
      </c>
      <c r="D46" s="57" t="str">
        <f>IF(ISNUMBER(F46)=FALSE,"","E")</f>
        <v>E</v>
      </c>
      <c r="E46" s="47">
        <f>IF(AND(ISNUMBER('Sektorski plasman'!A85)=TRUE,ISNUMBER(C46)=TRUE),'Sektorski plasman'!A85,"")</f>
        <v>8.5</v>
      </c>
      <c r="F46" s="57">
        <f>IF(ISNUMBER('Sektorski plasman'!B85)=FALSE,"",'Sektorski plasman'!B85)</f>
        <v>1325</v>
      </c>
      <c r="G46" s="56">
        <f>IF(AND(ISNUMBER(E46)=TRUE,ISNUMBER(F46)=TRUE),I46,"")</f>
        <v>41</v>
      </c>
      <c r="H46" s="56">
        <f>IF(ISNUMBER(G46)=TRUE,VLOOKUP(B46,'Upis rezultata A sektora'!$D$2:$G$13,4,FALSE),"")</f>
        <v>6</v>
      </c>
      <c r="I46" s="61">
        <f>IF(ISNUMBER(E46)=FALSE,"",RANK(J46,$J$6:$J$65,1))</f>
        <v>41</v>
      </c>
      <c r="J46">
        <f>IF(ISNUMBER(E46)=FALSE,"",E46-K46/100000)</f>
        <v>8.48675</v>
      </c>
      <c r="K46">
        <f>IF(ISNUMBER(F46)=FALSE,0,F46)</f>
        <v>1325</v>
      </c>
    </row>
    <row r="47" spans="1:11" ht="12.75" hidden="1">
      <c r="A47" s="16" t="str">
        <f>IF(ISNONTEXT('Sektorski plasman'!D86)=TRUE,"",'Sektorski plasman'!D86)</f>
        <v>Kristijan Kosmačin</v>
      </c>
      <c r="B47" s="16" t="str">
        <f>IF(AND(ISTEXT('Sektorski plasman'!D86)=TRUE,ISNUMBER(F47)=FALSE),"",'Sektorski plasman'!E86)</f>
        <v>Varaždin Varaždin</v>
      </c>
      <c r="C47" s="57">
        <f>IF(ISNUMBER('Sektorski plasman'!C86)=FALSE,"",'Sektorski plasman'!C86)</f>
        <v>5</v>
      </c>
      <c r="D47" s="57" t="str">
        <f>IF(ISNUMBER(F47)=FALSE,"","E")</f>
        <v>E</v>
      </c>
      <c r="E47" s="47">
        <f>IF(AND(ISNUMBER('Sektorski plasman'!A86)=TRUE,ISNUMBER(C47)=TRUE),'Sektorski plasman'!A86,"")</f>
        <v>8.5</v>
      </c>
      <c r="F47" s="57">
        <f>IF(ISNUMBER('Sektorski plasman'!B86)=FALSE,"",'Sektorski plasman'!B86)</f>
        <v>1325</v>
      </c>
      <c r="G47" s="56">
        <f>IF(AND(ISNUMBER(E47)=TRUE,ISNUMBER(F47)=TRUE),I47,"")</f>
        <v>41</v>
      </c>
      <c r="H47" s="56">
        <f>IF(ISNUMBER(G47)=TRUE,VLOOKUP(B47,'Upis rezultata A sektora'!$D$2:$G$13,4,FALSE),"")</f>
        <v>5</v>
      </c>
      <c r="I47" s="61">
        <f>IF(ISNUMBER(E47)=FALSE,"",RANK(J47,$J$6:$J$65,1))</f>
        <v>41</v>
      </c>
      <c r="J47">
        <f>IF(ISNUMBER(E47)=FALSE,"",E47-K47/100000)</f>
        <v>8.48675</v>
      </c>
      <c r="K47">
        <f>IF(ISNUMBER(F47)=FALSE,0,F47)</f>
        <v>1325</v>
      </c>
    </row>
    <row r="48" spans="1:11" ht="12.75" hidden="1">
      <c r="A48" s="16" t="str">
        <f>IF(ISNONTEXT('Sektorski plasman'!D50)=TRUE,"",'Sektorski plasman'!D50)</f>
        <v>Petar Petrović</v>
      </c>
      <c r="B48" s="16" t="str">
        <f>IF(AND(ISTEXT('Sektorski plasman'!D50)=TRUE,ISNUMBER(F48)=FALSE),"",'Sektorski plasman'!E50)</f>
        <v>Klen N.Gradiška</v>
      </c>
      <c r="C48" s="57">
        <f>IF(ISNUMBER('Sektorski plasman'!C50)=FALSE,"",'Sektorski plasman'!C50)</f>
        <v>8</v>
      </c>
      <c r="D48" s="57" t="str">
        <f>IF(ISNUMBER(F48)=FALSE,"","C")</f>
        <v>C</v>
      </c>
      <c r="E48" s="47">
        <f>IF(AND(ISNUMBER('Sektorski plasman'!A50)=TRUE,ISNUMBER(C48)=TRUE),'Sektorski plasman'!A50,"")</f>
        <v>9</v>
      </c>
      <c r="F48" s="57">
        <f>IF(ISNUMBER('Sektorski plasman'!B50)=FALSE,"",'Sektorski plasman'!B50)</f>
        <v>1325</v>
      </c>
      <c r="G48" s="56">
        <f>IF(AND(ISNUMBER(E48)=TRUE,ISNUMBER(F48)=TRUE),I48,"")</f>
        <v>43</v>
      </c>
      <c r="H48" s="56">
        <f>IF(ISNUMBER(G48)=TRUE,VLOOKUP(B48,'Upis rezultata A sektora'!$D$2:$G$13,4,FALSE),"")</f>
        <v>8</v>
      </c>
      <c r="I48" s="61">
        <f>IF(ISNUMBER(E48)=FALSE,"",RANK(J48,$J$6:$J$65,1))</f>
        <v>43</v>
      </c>
      <c r="J48">
        <f>IF(ISNUMBER(E48)=FALSE,"",E48-K48/100000)</f>
        <v>8.98675</v>
      </c>
      <c r="K48">
        <f>IF(ISNUMBER(F48)=FALSE,0,F48)</f>
        <v>1325</v>
      </c>
    </row>
    <row r="49" spans="1:11" ht="12.75" hidden="1">
      <c r="A49" s="16" t="str">
        <f>IF(ISNONTEXT('Sektorski plasman'!D69)=TRUE,"",'Sektorski plasman'!D69)</f>
        <v>Marijan Jurić</v>
      </c>
      <c r="B49" s="16" t="str">
        <f>IF(AND(ISTEXT('Sektorski plasman'!D69)=TRUE,ISNUMBER(F49)=FALSE),"",'Sektorski plasman'!E69)</f>
        <v>Bjelovar Bjelovar</v>
      </c>
      <c r="C49" s="57">
        <f>IF(ISNUMBER('Sektorski plasman'!C69)=FALSE,"",'Sektorski plasman'!C69)</f>
        <v>4</v>
      </c>
      <c r="D49" s="57" t="str">
        <f>IF(ISNUMBER(F49)=FALSE,"","D")</f>
        <v>D</v>
      </c>
      <c r="E49" s="47">
        <f>IF(AND(ISNUMBER('Sektorski plasman'!A69)=TRUE,ISNUMBER(C49)=TRUE),'Sektorski plasman'!A69,"")</f>
        <v>9</v>
      </c>
      <c r="F49" s="57">
        <f>IF(ISNUMBER('Sektorski plasman'!B69)=FALSE,"",'Sektorski plasman'!B69)</f>
        <v>1325</v>
      </c>
      <c r="G49" s="56">
        <f>IF(AND(ISNUMBER(E49)=TRUE,ISNUMBER(F49)=TRUE),I49,"")</f>
        <v>43</v>
      </c>
      <c r="H49" s="56">
        <f>IF(ISNUMBER(G49)=TRUE,VLOOKUP(B49,'Upis rezultata A sektora'!$D$2:$G$13,4,FALSE),"")</f>
        <v>4</v>
      </c>
      <c r="I49" s="61">
        <f>IF(ISNUMBER(E49)=FALSE,"",RANK(J49,$J$6:$J$65,1))</f>
        <v>43</v>
      </c>
      <c r="J49">
        <f>IF(ISNUMBER(E49)=FALSE,"",E49-K49/100000)</f>
        <v>8.98675</v>
      </c>
      <c r="K49">
        <f>IF(ISNUMBER(F49)=FALSE,0,F49)</f>
        <v>1325</v>
      </c>
    </row>
    <row r="50" spans="1:11" ht="12.75" hidden="1">
      <c r="A50" s="16" t="str">
        <f>IF(ISNONTEXT('Sektorski plasman'!D16)=TRUE,"",'Sektorski plasman'!D16)</f>
        <v>Damir Dević</v>
      </c>
      <c r="B50" s="16" t="str">
        <f>IF(AND(ISTEXT('Sektorski plasman'!D16)=TRUE,ISNUMBER(F50)=FALSE),"",'Sektorski plasman'!E16)</f>
        <v>Klen N.Gradiška</v>
      </c>
      <c r="C50" s="57">
        <f>IF(ISNUMBER('Sektorski plasman'!C16)=FALSE,"",'Sektorski plasman'!C16)</f>
        <v>8</v>
      </c>
      <c r="D50" s="57" t="str">
        <f>IF(ISNUMBER(F50)=FALSE,"","A")</f>
        <v>A</v>
      </c>
      <c r="E50" s="47">
        <f>IF(AND(ISNUMBER('Sektorski plasman'!A16)=TRUE,ISNUMBER(C50)=TRUE),'Sektorski plasman'!A16,"")</f>
        <v>9</v>
      </c>
      <c r="F50" s="57">
        <f>IF(ISNUMBER('Sektorski plasman'!B16)=FALSE,"",'Sektorski plasman'!B16)</f>
        <v>1125</v>
      </c>
      <c r="G50" s="56">
        <f>IF(AND(ISNUMBER(E50)=TRUE,ISNUMBER(F50)=TRUE),I50,"")</f>
        <v>45</v>
      </c>
      <c r="H50" s="56">
        <f>IF(ISNUMBER(G50)=TRUE,VLOOKUP(B50,'Upis rezultata A sektora'!$D$2:$G$13,4,FALSE),"")</f>
        <v>8</v>
      </c>
      <c r="I50" s="61">
        <f>IF(ISNUMBER(E50)=FALSE,"",RANK(J50,$J$6:$J$65,1))</f>
        <v>45</v>
      </c>
      <c r="J50">
        <f>IF(ISNUMBER(E50)=FALSE,"",E50-K50/100000)</f>
        <v>8.98875</v>
      </c>
      <c r="K50">
        <f>IF(ISNUMBER(F50)=FALSE,0,F50)</f>
        <v>1125</v>
      </c>
    </row>
    <row r="51" spans="1:11" ht="12.75" hidden="1">
      <c r="A51" s="16" t="str">
        <f>IF(ISNONTEXT('Sektorski plasman'!D70)=TRUE,"",'Sektorski plasman'!D70)</f>
        <v>Zlatko Novačić</v>
      </c>
      <c r="B51" s="16" t="str">
        <f>IF(AND(ISTEXT('Sektorski plasman'!D70)=TRUE,ISNUMBER(F51)=FALSE),"",'Sektorski plasman'!E70)</f>
        <v>Rak Rakitje</v>
      </c>
      <c r="C51" s="57">
        <f>IF(ISNUMBER('Sektorski plasman'!C70)=FALSE,"",'Sektorski plasman'!C70)</f>
        <v>3</v>
      </c>
      <c r="D51" s="57" t="str">
        <f>IF(ISNUMBER(F51)=FALSE,"","D")</f>
        <v>D</v>
      </c>
      <c r="E51" s="47">
        <f>IF(AND(ISNUMBER('Sektorski plasman'!A70)=TRUE,ISNUMBER(C51)=TRUE),'Sektorski plasman'!A70,"")</f>
        <v>10</v>
      </c>
      <c r="F51" s="57">
        <f>IF(ISNUMBER('Sektorski plasman'!B70)=FALSE,"",'Sektorski plasman'!B70)</f>
        <v>1256</v>
      </c>
      <c r="G51" s="56">
        <f>IF(AND(ISNUMBER(E51)=TRUE,ISNUMBER(F51)=TRUE),I51,"")</f>
        <v>46</v>
      </c>
      <c r="H51" s="56">
        <f>IF(ISNUMBER(G51)=TRUE,VLOOKUP(B51,'Upis rezultata A sektora'!$D$2:$G$13,4,FALSE),"")</f>
        <v>3</v>
      </c>
      <c r="I51" s="61">
        <f>IF(ISNUMBER(E51)=FALSE,"",RANK(J51,$J$6:$J$65,1))</f>
        <v>46</v>
      </c>
      <c r="J51">
        <f>IF(ISNUMBER(E51)=FALSE,"",E51-K51/100000)</f>
        <v>9.98744</v>
      </c>
      <c r="K51">
        <f>IF(ISNUMBER(F51)=FALSE,0,F51)</f>
        <v>1256</v>
      </c>
    </row>
    <row r="52" spans="1:11" ht="12.75" hidden="1">
      <c r="A52" s="16" t="str">
        <f>IF(ISNONTEXT('Sektorski plasman'!D51)=TRUE,"",'Sektorski plasman'!D51)</f>
        <v>Marijan Lisjak</v>
      </c>
      <c r="B52" s="16" t="str">
        <f>IF(AND(ISTEXT('Sektorski plasman'!D51)=TRUE,ISNUMBER(F52)=FALSE),"",'Sektorski plasman'!E51)</f>
        <v>Varaždin Varaždin</v>
      </c>
      <c r="C52" s="57">
        <f>IF(ISNUMBER('Sektorski plasman'!C51)=FALSE,"",'Sektorski plasman'!C51)</f>
        <v>5</v>
      </c>
      <c r="D52" s="57" t="str">
        <f>IF(ISNUMBER(F52)=FALSE,"","C")</f>
        <v>C</v>
      </c>
      <c r="E52" s="47">
        <f>IF(AND(ISNUMBER('Sektorski plasman'!A51)=TRUE,ISNUMBER(C52)=TRUE),'Sektorski plasman'!A51,"")</f>
        <v>10</v>
      </c>
      <c r="F52" s="57">
        <f>IF(ISNUMBER('Sektorski plasman'!B51)=FALSE,"",'Sektorski plasman'!B51)</f>
        <v>930</v>
      </c>
      <c r="G52" s="56">
        <f>IF(AND(ISNUMBER(E52)=TRUE,ISNUMBER(F52)=TRUE),I52,"")</f>
        <v>47</v>
      </c>
      <c r="H52" s="56">
        <f>IF(ISNUMBER(G52)=TRUE,VLOOKUP(B52,'Upis rezultata A sektora'!$D$2:$G$13,4,FALSE),"")</f>
        <v>5</v>
      </c>
      <c r="I52" s="61">
        <f>IF(ISNUMBER(E52)=FALSE,"",RANK(J52,$J$6:$J$65,1))</f>
        <v>47</v>
      </c>
      <c r="J52">
        <f>IF(ISNUMBER(E52)=FALSE,"",E52-K52/100000)</f>
        <v>9.9907</v>
      </c>
      <c r="K52">
        <f>IF(ISNUMBER(F52)=FALSE,0,F52)</f>
        <v>930</v>
      </c>
    </row>
    <row r="53" spans="1:11" ht="12.75" hidden="1">
      <c r="A53" s="16" t="str">
        <f>IF(ISNONTEXT('Sektorski plasman'!D87)=TRUE,"",'Sektorski plasman'!D87)</f>
        <v>Dražen Štajduhar</v>
      </c>
      <c r="B53" s="16" t="str">
        <f>IF(AND(ISTEXT('Sektorski plasman'!D87)=TRUE,ISNUMBER(F53)=FALSE),"",'Sektorski plasman'!E87)</f>
        <v>Bjelovar Bjelovar</v>
      </c>
      <c r="C53" s="57">
        <f>IF(ISNUMBER('Sektorski plasman'!C87)=FALSE,"",'Sektorski plasman'!C87)</f>
        <v>4</v>
      </c>
      <c r="D53" s="57" t="str">
        <f>IF(ISNUMBER(F53)=FALSE,"","E")</f>
        <v>E</v>
      </c>
      <c r="E53" s="47">
        <f>IF(AND(ISNUMBER('Sektorski plasman'!A87)=TRUE,ISNUMBER(C53)=TRUE),'Sektorski plasman'!A87,"")</f>
        <v>10.5</v>
      </c>
      <c r="F53" s="57">
        <f>IF(ISNUMBER('Sektorski plasman'!B87)=FALSE,"",'Sektorski plasman'!B87)</f>
        <v>1256</v>
      </c>
      <c r="G53" s="56">
        <f>IF(AND(ISNUMBER(E53)=TRUE,ISNUMBER(F53)=TRUE),I53,"")</f>
        <v>48</v>
      </c>
      <c r="H53" s="56">
        <f>IF(ISNUMBER(G53)=TRUE,VLOOKUP(B53,'Upis rezultata A sektora'!$D$2:$G$13,4,FALSE),"")</f>
        <v>4</v>
      </c>
      <c r="I53" s="61">
        <f>IF(ISNUMBER(E53)=FALSE,"",RANK(J53,$J$6:$J$65,1))</f>
        <v>48</v>
      </c>
      <c r="J53">
        <f>IF(ISNUMBER(E53)=FALSE,"",E53-K53/100000)</f>
        <v>10.48744</v>
      </c>
      <c r="K53">
        <f>IF(ISNUMBER(F53)=FALSE,0,F53)</f>
        <v>1256</v>
      </c>
    </row>
    <row r="54" spans="1:11" ht="12.75" hidden="1">
      <c r="A54" s="16" t="str">
        <f>IF(ISNONTEXT('Sektorski plasman'!D88)=TRUE,"",'Sektorski plasman'!D88)</f>
        <v>Zlatko Auker</v>
      </c>
      <c r="B54" s="16" t="str">
        <f>IF(AND(ISTEXT('Sektorski plasman'!D88)=TRUE,ISNUMBER(F54)=FALSE),"",'Sektorski plasman'!E88)</f>
        <v>Rak Rakitje</v>
      </c>
      <c r="C54" s="57">
        <f>IF(ISNUMBER('Sektorski plasman'!C88)=FALSE,"",'Sektorski plasman'!C88)</f>
        <v>3</v>
      </c>
      <c r="D54" s="57" t="str">
        <f>IF(ISNUMBER(F54)=FALSE,"","E")</f>
        <v>E</v>
      </c>
      <c r="E54" s="47">
        <f>IF(AND(ISNUMBER('Sektorski plasman'!A88)=TRUE,ISNUMBER(C54)=TRUE),'Sektorski plasman'!A88,"")</f>
        <v>10.5</v>
      </c>
      <c r="F54" s="57">
        <f>IF(ISNUMBER('Sektorski plasman'!B88)=FALSE,"",'Sektorski plasman'!B88)</f>
        <v>1256</v>
      </c>
      <c r="G54" s="56">
        <f>IF(AND(ISNUMBER(E54)=TRUE,ISNUMBER(F54)=TRUE),I54,"")</f>
        <v>48</v>
      </c>
      <c r="H54" s="56">
        <f>IF(ISNUMBER(G54)=TRUE,VLOOKUP(B54,'Upis rezultata A sektora'!$D$2:$G$13,4,FALSE),"")</f>
        <v>3</v>
      </c>
      <c r="I54" s="61">
        <f>IF(ISNUMBER(E54)=FALSE,"",RANK(J54,$J$6:$J$65,1))</f>
        <v>48</v>
      </c>
      <c r="J54">
        <f>IF(ISNUMBER(E54)=FALSE,"",E54-K54/100000)</f>
        <v>10.48744</v>
      </c>
      <c r="K54">
        <f>IF(ISNUMBER(F54)=FALSE,0,F54)</f>
        <v>1256</v>
      </c>
    </row>
    <row r="55" spans="1:11" ht="12.75" hidden="1">
      <c r="A55" s="16" t="str">
        <f>IF(ISNONTEXT('Sektorski plasman'!D34)=TRUE,"",'Sektorski plasman'!D34)</f>
        <v>Smail Habibović</v>
      </c>
      <c r="B55" s="16" t="str">
        <f>IF(AND(ISTEXT('Sektorski plasman'!D34)=TRUE,ISNUMBER(F55)=FALSE),"",'Sektorski plasman'!E34)</f>
        <v>Bjelka GME Sunja</v>
      </c>
      <c r="C55" s="57">
        <f>IF(ISNUMBER('Sektorski plasman'!C34)=FALSE,"",'Sektorski plasman'!C34)</f>
        <v>9</v>
      </c>
      <c r="D55" s="57" t="str">
        <f>IF(ISNUMBER(F55)=FALSE,"","B")</f>
        <v>B</v>
      </c>
      <c r="E55" s="47">
        <f>IF(AND(ISNUMBER('Sektorski plasman'!A34)=TRUE,ISNUMBER(C55)=TRUE),'Sektorski plasman'!A34,"")</f>
        <v>10.5</v>
      </c>
      <c r="F55" s="57">
        <f>IF(ISNUMBER('Sektorski plasman'!B34)=FALSE,"",'Sektorski plasman'!B34)</f>
        <v>1119</v>
      </c>
      <c r="G55" s="56">
        <f>IF(AND(ISNUMBER(E55)=TRUE,ISNUMBER(F55)=TRUE),I55,"")</f>
        <v>50</v>
      </c>
      <c r="H55" s="56">
        <f>IF(ISNUMBER(G55)=TRUE,VLOOKUP(B55,'Upis rezultata A sektora'!$D$2:$G$13,4,FALSE),"")</f>
        <v>9</v>
      </c>
      <c r="I55" s="61">
        <f>IF(ISNUMBER(E55)=FALSE,"",RANK(J55,$J$6:$J$65,1))</f>
        <v>50</v>
      </c>
      <c r="J55">
        <f>IF(ISNUMBER(E55)=FALSE,"",E55-K55/100000)</f>
        <v>10.48881</v>
      </c>
      <c r="K55">
        <f>IF(ISNUMBER(F55)=FALSE,0,F55)</f>
        <v>1119</v>
      </c>
    </row>
    <row r="56" spans="1:11" ht="12.75" hidden="1">
      <c r="A56" s="16" t="str">
        <f>IF(ISNONTEXT('Sektorski plasman'!D35)=TRUE,"",'Sektorski plasman'!D35)</f>
        <v>Zlatko Kračun</v>
      </c>
      <c r="B56" s="16" t="str">
        <f>IF(AND(ISTEXT('Sektorski plasman'!D35)=TRUE,ISNUMBER(F56)=FALSE),"",'Sektorski plasman'!E35)</f>
        <v>Azzuro Varaždin</v>
      </c>
      <c r="C56" s="57">
        <f>IF(ISNUMBER('Sektorski plasman'!C35)=FALSE,"",'Sektorski plasman'!C35)</f>
        <v>6</v>
      </c>
      <c r="D56" s="57" t="str">
        <f>IF(ISNUMBER(F56)=FALSE,"","B")</f>
        <v>B</v>
      </c>
      <c r="E56" s="47">
        <f>IF(AND(ISNUMBER('Sektorski plasman'!A35)=TRUE,ISNUMBER(C56)=TRUE),'Sektorski plasman'!A35,"")</f>
        <v>10.5</v>
      </c>
      <c r="F56" s="57">
        <f>IF(ISNUMBER('Sektorski plasman'!B35)=FALSE,"",'Sektorski plasman'!B35)</f>
        <v>1119</v>
      </c>
      <c r="G56" s="56">
        <f>IF(AND(ISNUMBER(E56)=TRUE,ISNUMBER(F56)=TRUE),I56,"")</f>
        <v>50</v>
      </c>
      <c r="H56" s="56">
        <f>IF(ISNUMBER(G56)=TRUE,VLOOKUP(B56,'Upis rezultata A sektora'!$D$2:$G$13,4,FALSE),"")</f>
        <v>6</v>
      </c>
      <c r="I56" s="61">
        <f>IF(ISNUMBER(E56)=FALSE,"",RANK(J56,$J$6:$J$65,1))</f>
        <v>50</v>
      </c>
      <c r="J56">
        <f>IF(ISNUMBER(E56)=FALSE,"",E56-K56/100000)</f>
        <v>10.48881</v>
      </c>
      <c r="K56">
        <f>IF(ISNUMBER(F56)=FALSE,0,F56)</f>
        <v>1119</v>
      </c>
    </row>
    <row r="57" spans="1:11" ht="12.75" hidden="1">
      <c r="A57" s="16" t="str">
        <f>IF(ISNONTEXT('Sektorski plasman'!D17)=TRUE,"",'Sektorski plasman'!D17)</f>
        <v>Zdravko Gotovac</v>
      </c>
      <c r="B57" s="16" t="str">
        <f>IF(AND(ISTEXT('Sektorski plasman'!D17)=TRUE,ISNUMBER(F57)=FALSE),"",'Sektorski plasman'!E17)</f>
        <v>Trnje-ŠR Zagreb</v>
      </c>
      <c r="C57" s="57">
        <f>IF(ISNUMBER('Sektorski plasman'!C17)=FALSE,"",'Sektorski plasman'!C17)</f>
        <v>7</v>
      </c>
      <c r="D57" s="57" t="str">
        <f>IF(ISNUMBER(F57)=FALSE,"","A")</f>
        <v>A</v>
      </c>
      <c r="E57" s="47">
        <f>IF(AND(ISNUMBER('Sektorski plasman'!A17)=TRUE,ISNUMBER(C57)=TRUE),'Sektorski plasman'!A17,"")</f>
        <v>10.5</v>
      </c>
      <c r="F57" s="57">
        <f>IF(ISNUMBER('Sektorski plasman'!B17)=FALSE,"",'Sektorski plasman'!B17)</f>
        <v>905</v>
      </c>
      <c r="G57" s="56">
        <f>IF(AND(ISNUMBER(E57)=TRUE,ISNUMBER(F57)=TRUE),I57,"")</f>
        <v>52</v>
      </c>
      <c r="H57" s="56">
        <f>IF(ISNUMBER(G57)=TRUE,VLOOKUP(B57,'Upis rezultata A sektora'!$D$2:$G$13,4,FALSE),"")</f>
        <v>7</v>
      </c>
      <c r="I57" s="61">
        <f>IF(ISNUMBER(E57)=FALSE,"",RANK(J57,$J$6:$J$65,1))</f>
        <v>52</v>
      </c>
      <c r="J57">
        <f>IF(ISNUMBER(E57)=FALSE,"",E57-K57/100000)</f>
        <v>10.49095</v>
      </c>
      <c r="K57">
        <f>IF(ISNUMBER(F57)=FALSE,0,F57)</f>
        <v>905</v>
      </c>
    </row>
    <row r="58" spans="1:11" ht="12.75" hidden="1">
      <c r="A58" s="16" t="str">
        <f>IF(ISNONTEXT('Sektorski plasman'!D18)=TRUE,"",'Sektorski plasman'!D18)</f>
        <v>Emil Lukman</v>
      </c>
      <c r="B58" s="16" t="str">
        <f>IF(AND(ISTEXT('Sektorski plasman'!D18)=TRUE,ISNUMBER(F58)=FALSE),"",'Sektorski plasman'!E18)</f>
        <v>Bjelovar Bjelovar</v>
      </c>
      <c r="C58" s="57">
        <f>IF(ISNUMBER('Sektorski plasman'!C18)=FALSE,"",'Sektorski plasman'!C18)</f>
        <v>4</v>
      </c>
      <c r="D58" s="57" t="str">
        <f>IF(ISNUMBER(F58)=FALSE,"","A")</f>
        <v>A</v>
      </c>
      <c r="E58" s="47">
        <f>IF(AND(ISNUMBER('Sektorski plasman'!A18)=TRUE,ISNUMBER(C58)=TRUE),'Sektorski plasman'!A18,"")</f>
        <v>10.5</v>
      </c>
      <c r="F58" s="57">
        <f>IF(ISNUMBER('Sektorski plasman'!B18)=FALSE,"",'Sektorski plasman'!B18)</f>
        <v>905</v>
      </c>
      <c r="G58" s="56">
        <f>IF(AND(ISNUMBER(E58)=TRUE,ISNUMBER(F58)=TRUE),I58,"")</f>
        <v>52</v>
      </c>
      <c r="H58" s="56">
        <f>IF(ISNUMBER(G58)=TRUE,VLOOKUP(B58,'Upis rezultata A sektora'!$D$2:$G$13,4,FALSE),"")</f>
        <v>4</v>
      </c>
      <c r="I58" s="61">
        <f>IF(ISNUMBER(E58)=FALSE,"",RANK(J58,$J$6:$J$65,1))</f>
        <v>52</v>
      </c>
      <c r="J58">
        <f>IF(ISNUMBER(E58)=FALSE,"",E58-K58/100000)</f>
        <v>10.49095</v>
      </c>
      <c r="K58">
        <f>IF(ISNUMBER(F58)=FALSE,0,F58)</f>
        <v>905</v>
      </c>
    </row>
    <row r="59" spans="1:11" ht="12.75" hidden="1">
      <c r="A59" s="16" t="str">
        <f>IF(ISNONTEXT('Sektorski plasman'!D71)=TRUE,"",'Sektorski plasman'!D71)</f>
        <v>Hrvoje Horvat</v>
      </c>
      <c r="B59" s="16" t="str">
        <f>IF(AND(ISTEXT('Sektorski plasman'!D71)=TRUE,ISNUMBER(F59)=FALSE),"",'Sektorski plasman'!E71)</f>
        <v>Štuka Torčec</v>
      </c>
      <c r="C59" s="57">
        <f>IF(ISNUMBER('Sektorski plasman'!C71)=FALSE,"",'Sektorski plasman'!C71)</f>
        <v>2</v>
      </c>
      <c r="D59" s="57" t="str">
        <f>IF(ISNUMBER(F59)=FALSE,"","D")</f>
        <v>D</v>
      </c>
      <c r="E59" s="47">
        <f>IF(AND(ISNUMBER('Sektorski plasman'!A71)=TRUE,ISNUMBER(C59)=TRUE),'Sektorski plasman'!A71,"")</f>
        <v>11</v>
      </c>
      <c r="F59" s="57">
        <f>IF(ISNUMBER('Sektorski plasman'!B71)=FALSE,"",'Sektorski plasman'!B71)</f>
        <v>1098</v>
      </c>
      <c r="G59" s="56">
        <f>IF(AND(ISNUMBER(E59)=TRUE,ISNUMBER(F59)=TRUE),I59,"")</f>
        <v>54</v>
      </c>
      <c r="H59" s="56">
        <f>IF(ISNUMBER(G59)=TRUE,VLOOKUP(B59,'Upis rezultata A sektora'!$D$2:$G$13,4,FALSE),"")</f>
        <v>2</v>
      </c>
      <c r="I59" s="61">
        <f>IF(ISNUMBER(E59)=FALSE,"",RANK(J59,$J$6:$J$65,1))</f>
        <v>54</v>
      </c>
      <c r="J59">
        <f>IF(ISNUMBER(E59)=FALSE,"",E59-K59/100000)</f>
        <v>10.98902</v>
      </c>
      <c r="K59">
        <f>IF(ISNUMBER(F59)=FALSE,0,F59)</f>
        <v>1098</v>
      </c>
    </row>
    <row r="60" spans="1:11" ht="12.75" hidden="1">
      <c r="A60" s="16" t="str">
        <f>IF(ISNONTEXT('Sektorski plasman'!D52)=TRUE,"",'Sektorski plasman'!D52)</f>
        <v>Ivo Begović</v>
      </c>
      <c r="B60" s="16" t="str">
        <f>IF(AND(ISTEXT('Sektorski plasman'!D52)=TRUE,ISNUMBER(F60)=FALSE),"",'Sektorski plasman'!E52)</f>
        <v>Bjelovar Bjelovar</v>
      </c>
      <c r="C60" s="57">
        <f>IF(ISNUMBER('Sektorski plasman'!C52)=FALSE,"",'Sektorski plasman'!C52)</f>
        <v>4</v>
      </c>
      <c r="D60" s="57" t="str">
        <f>IF(ISNUMBER(F60)=FALSE,"","C")</f>
        <v>C</v>
      </c>
      <c r="E60" s="47">
        <f>IF(AND(ISNUMBER('Sektorski plasman'!A52)=TRUE,ISNUMBER(C60)=TRUE),'Sektorski plasman'!A52,"")</f>
        <v>11</v>
      </c>
      <c r="F60" s="57">
        <f>IF(ISNUMBER('Sektorski plasman'!B52)=FALSE,"",'Sektorski plasman'!B52)</f>
        <v>670</v>
      </c>
      <c r="G60" s="56">
        <f>IF(AND(ISNUMBER(E60)=TRUE,ISNUMBER(F60)=TRUE),I60,"")</f>
        <v>55</v>
      </c>
      <c r="H60" s="56">
        <f>IF(ISNUMBER(G60)=TRUE,VLOOKUP(B60,'Upis rezultata A sektora'!$D$2:$G$13,4,FALSE),"")</f>
        <v>4</v>
      </c>
      <c r="I60" s="61">
        <f>IF(ISNUMBER(E60)=FALSE,"",RANK(J60,$J$6:$J$65,1))</f>
        <v>55</v>
      </c>
      <c r="J60">
        <f>IF(ISNUMBER(E60)=FALSE,"",E60-K60/100000)</f>
        <v>10.9933</v>
      </c>
      <c r="K60">
        <f>IF(ISNUMBER(F60)=FALSE,0,F60)</f>
        <v>670</v>
      </c>
    </row>
    <row r="61" spans="1:11" ht="12.75" hidden="1">
      <c r="A61" s="16" t="str">
        <f>IF(ISNONTEXT('Sektorski plasman'!D89)=TRUE,"",'Sektorski plasman'!D89)</f>
        <v>Saša Mustač</v>
      </c>
      <c r="B61" s="16" t="str">
        <f>IF(AND(ISTEXT('Sektorski plasman'!D89)=TRUE,ISNUMBER(F61)=FALSE),"",'Sektorski plasman'!E89)</f>
        <v>Štuka Torčec</v>
      </c>
      <c r="C61" s="57">
        <f>IF(ISNUMBER('Sektorski plasman'!C89)=FALSE,"",'Sektorski plasman'!C89)</f>
        <v>2</v>
      </c>
      <c r="D61" s="57" t="str">
        <f>IF(ISNUMBER(F61)=FALSE,"","E")</f>
        <v>E</v>
      </c>
      <c r="E61" s="47">
        <f>IF(AND(ISNUMBER('Sektorski plasman'!A89)=TRUE,ISNUMBER(C61)=TRUE),'Sektorski plasman'!A89,"")</f>
        <v>12</v>
      </c>
      <c r="F61" s="57">
        <f>IF(ISNUMBER('Sektorski plasman'!B89)=FALSE,"",'Sektorski plasman'!B89)</f>
        <v>1045</v>
      </c>
      <c r="G61" s="56">
        <f>IF(AND(ISNUMBER(E61)=TRUE,ISNUMBER(F61)=TRUE),I61,"")</f>
        <v>56</v>
      </c>
      <c r="H61" s="56">
        <f>IF(ISNUMBER(G61)=TRUE,VLOOKUP(B61,'Upis rezultata A sektora'!$D$2:$G$13,4,FALSE),"")</f>
        <v>2</v>
      </c>
      <c r="I61" s="61">
        <f>IF(ISNUMBER(E61)=FALSE,"",RANK(J61,$J$6:$J$65,1))</f>
        <v>56</v>
      </c>
      <c r="J61">
        <f>IF(ISNUMBER(E61)=FALSE,"",E61-K61/100000)</f>
        <v>11.98955</v>
      </c>
      <c r="K61">
        <f>IF(ISNUMBER(F61)=FALSE,0,F61)</f>
        <v>1045</v>
      </c>
    </row>
    <row r="62" spans="1:11" ht="12.75" hidden="1">
      <c r="A62" s="16" t="str">
        <f>IF(ISNONTEXT('Sektorski plasman'!D36)=TRUE,"",'Sektorski plasman'!D36)</f>
        <v>Tihomir Hunjak</v>
      </c>
      <c r="B62" s="16" t="str">
        <f>IF(AND(ISTEXT('Sektorski plasman'!D36)=TRUE,ISNUMBER(F62)=FALSE),"",'Sektorski plasman'!E36)</f>
        <v>Varaždin Varaždin</v>
      </c>
      <c r="C62" s="57">
        <f>IF(ISNUMBER('Sektorski plasman'!C36)=FALSE,"",'Sektorski plasman'!C36)</f>
        <v>5</v>
      </c>
      <c r="D62" s="57" t="str">
        <f>IF(ISNUMBER(F62)=FALSE,"","B")</f>
        <v>B</v>
      </c>
      <c r="E62" s="47">
        <f>IF(AND(ISNUMBER('Sektorski plasman'!A36)=TRUE,ISNUMBER(C62)=TRUE),'Sektorski plasman'!A36,"")</f>
        <v>12</v>
      </c>
      <c r="F62" s="57">
        <f>IF(ISNUMBER('Sektorski plasman'!B36)=FALSE,"",'Sektorski plasman'!B36)</f>
        <v>1004</v>
      </c>
      <c r="G62" s="56">
        <f>IF(AND(ISNUMBER(E62)=TRUE,ISNUMBER(F62)=TRUE),I62,"")</f>
        <v>57</v>
      </c>
      <c r="H62" s="56">
        <f>IF(ISNUMBER(G62)=TRUE,VLOOKUP(B62,'Upis rezultata A sektora'!$D$2:$G$13,4,FALSE),"")</f>
        <v>5</v>
      </c>
      <c r="I62" s="61">
        <f>IF(ISNUMBER(E62)=FALSE,"",RANK(J62,$J$6:$J$65,1))</f>
        <v>57</v>
      </c>
      <c r="J62">
        <f>IF(ISNUMBER(E62)=FALSE,"",E62-K62/100000)</f>
        <v>11.98996</v>
      </c>
      <c r="K62">
        <f>IF(ISNUMBER(F62)=FALSE,0,F62)</f>
        <v>1004</v>
      </c>
    </row>
    <row r="63" spans="1:11" ht="12.75" hidden="1">
      <c r="A63" s="16" t="str">
        <f>IF(ISNONTEXT('Sektorski plasman'!D53)=TRUE,"",'Sektorski plasman'!D53)</f>
        <v>Dejan Vondrak</v>
      </c>
      <c r="B63" s="16" t="str">
        <f>IF(AND(ISTEXT('Sektorski plasman'!D53)=TRUE,ISNUMBER(F63)=FALSE),"",'Sektorski plasman'!E53)</f>
        <v>Bjelka GME Sunja</v>
      </c>
      <c r="C63" s="57">
        <f>IF(ISNUMBER('Sektorski plasman'!C53)=FALSE,"",'Sektorski plasman'!C53)</f>
        <v>9</v>
      </c>
      <c r="D63" s="57" t="str">
        <f>IF(ISNUMBER(F63)=FALSE,"","C")</f>
        <v>C</v>
      </c>
      <c r="E63" s="47">
        <f>IF(AND(ISNUMBER('Sektorski plasman'!A53)=TRUE,ISNUMBER(C63)=TRUE),'Sektorski plasman'!A53,"")</f>
        <v>12</v>
      </c>
      <c r="F63" s="57">
        <f>IF(ISNUMBER('Sektorski plasman'!B53)=FALSE,"",'Sektorski plasman'!B53)</f>
        <v>608</v>
      </c>
      <c r="G63" s="56">
        <f>IF(AND(ISNUMBER(E63)=TRUE,ISNUMBER(F63)=TRUE),I63,"")</f>
        <v>58</v>
      </c>
      <c r="H63" s="56">
        <f>IF(ISNUMBER(G63)=TRUE,VLOOKUP(B63,'Upis rezultata A sektora'!$D$2:$G$13,4,FALSE),"")</f>
        <v>9</v>
      </c>
      <c r="I63" s="61">
        <f>IF(ISNUMBER(E63)=FALSE,"",RANK(J63,$J$6:$J$65,1))</f>
        <v>58</v>
      </c>
      <c r="J63">
        <f>IF(ISNUMBER(E63)=FALSE,"",E63-K63/100000)</f>
        <v>11.99392</v>
      </c>
      <c r="K63">
        <f>IF(ISNUMBER(F63)=FALSE,0,F63)</f>
        <v>608</v>
      </c>
    </row>
    <row r="64" spans="1:11" ht="12.75" hidden="1">
      <c r="A64" s="16" t="str">
        <f>IF(ISNONTEXT('Sektorski plasman'!D72)=TRUE,"",'Sektorski plasman'!D72)</f>
        <v>Goran Funes</v>
      </c>
      <c r="B64" s="16" t="str">
        <f>IF(AND(ISTEXT('Sektorski plasman'!D72)=TRUE,ISNUMBER(F64)=FALSE),"",'Sektorski plasman'!E72)</f>
        <v>Klen N.Gradiška</v>
      </c>
      <c r="C64" s="57">
        <f>IF(ISNUMBER('Sektorski plasman'!C72)=FALSE,"",'Sektorski plasman'!C72)</f>
        <v>8</v>
      </c>
      <c r="D64" s="57" t="str">
        <f>IF(ISNUMBER(F64)=FALSE,"","D")</f>
        <v>D</v>
      </c>
      <c r="E64" s="47">
        <f>IF(AND(ISNUMBER('Sektorski plasman'!A72)=TRUE,ISNUMBER(C64)=TRUE),'Sektorski plasman'!A72,"")</f>
        <v>12</v>
      </c>
      <c r="F64" s="57">
        <f>IF(ISNUMBER('Sektorski plasman'!B72)=FALSE,"",'Sektorski plasman'!B72)</f>
        <v>480</v>
      </c>
      <c r="G64" s="56">
        <f>IF(AND(ISNUMBER(E64)=TRUE,ISNUMBER(F64)=TRUE),I64,"")</f>
        <v>59</v>
      </c>
      <c r="H64" s="56">
        <f>IF(ISNUMBER(G64)=TRUE,VLOOKUP(B64,'Upis rezultata A sektora'!$D$2:$G$13,4,FALSE),"")</f>
        <v>8</v>
      </c>
      <c r="I64" s="61">
        <f>IF(ISNUMBER(E64)=FALSE,"",RANK(J64,$J$6:$J$65,1))</f>
        <v>59</v>
      </c>
      <c r="J64">
        <f>IF(ISNUMBER(E64)=FALSE,"",E64-K64/100000)</f>
        <v>11.9952</v>
      </c>
      <c r="K64">
        <f>IF(ISNUMBER(F64)=FALSE,0,F64)</f>
        <v>480</v>
      </c>
    </row>
    <row r="65" spans="1:11" ht="12.75" hidden="1">
      <c r="A65" s="16" t="str">
        <f>IF(ISNONTEXT('Sektorski plasman'!D19)=TRUE,"",'Sektorski plasman'!D19)</f>
        <v>Ivica Bonino Hasan</v>
      </c>
      <c r="B65" s="16" t="str">
        <f>IF(AND(ISTEXT('Sektorski plasman'!D19)=TRUE,ISNUMBER(F65)=FALSE),"",'Sektorski plasman'!E19)</f>
        <v>Varaždin Varaždin</v>
      </c>
      <c r="C65" s="57">
        <f>IF(ISNUMBER('Sektorski plasman'!C19)=FALSE,"",'Sektorski plasman'!C19)</f>
        <v>5</v>
      </c>
      <c r="D65" s="57" t="str">
        <f>IF(ISNUMBER(F65)=FALSE,"","A")</f>
        <v>A</v>
      </c>
      <c r="E65" s="47">
        <f>IF(AND(ISNUMBER('Sektorski plasman'!A19)=TRUE,ISNUMBER(C65)=TRUE),'Sektorski plasman'!A19,"")</f>
        <v>12</v>
      </c>
      <c r="F65" s="57">
        <f>IF(ISNUMBER('Sektorski plasman'!B19)=FALSE,"",'Sektorski plasman'!B19)</f>
        <v>475</v>
      </c>
      <c r="G65" s="56">
        <f>IF(AND(ISNUMBER(E65)=TRUE,ISNUMBER(F65)=TRUE),I65,"")</f>
        <v>60</v>
      </c>
      <c r="H65" s="56">
        <f>IF(ISNUMBER(G65)=TRUE,VLOOKUP(B65,'Upis rezultata A sektora'!$D$2:$G$13,4,FALSE),"")</f>
        <v>5</v>
      </c>
      <c r="I65" s="61">
        <f>IF(ISNUMBER(E65)=FALSE,"",RANK(J65,$J$6:$J$65,1))</f>
        <v>60</v>
      </c>
      <c r="J65">
        <f>IF(ISNUMBER(E65)=FALSE,"",E65-K65/100000)</f>
        <v>11.99525</v>
      </c>
      <c r="K65">
        <f>IF(ISNUMBER(F65)=FALSE,0,F65)</f>
        <v>475</v>
      </c>
    </row>
    <row r="66" spans="1:4" ht="12.75" hidden="1">
      <c r="A66" s="57"/>
      <c r="D66" s="57"/>
    </row>
    <row r="67" spans="1:4" ht="12.75" hidden="1">
      <c r="A67" s="57"/>
      <c r="D67" s="57"/>
    </row>
    <row r="68" spans="1:4" ht="12.75" hidden="1">
      <c r="A68" s="57"/>
      <c r="D68" s="57"/>
    </row>
    <row r="69" spans="1:4" ht="12.75" hidden="1">
      <c r="A69" s="57"/>
      <c r="D69" s="57"/>
    </row>
    <row r="70" spans="1:4" ht="12.75" hidden="1">
      <c r="A70" s="57"/>
      <c r="D70" s="57"/>
    </row>
    <row r="74" ht="12.75"/>
    <row r="75" ht="12.75"/>
  </sheetData>
  <sheetProtection/>
  <mergeCells count="1">
    <mergeCell ref="I5:K5"/>
  </mergeCells>
  <printOptions horizontalCentered="1"/>
  <pageMargins left="0.7480314960629921" right="0.7480314960629921" top="0.984251968503937" bottom="0.984251968503937" header="0.5118110236220472" footer="0.5118110236220472"/>
  <pageSetup horizontalDpi="300" verticalDpi="300" orientation="portrait" paperSize="9" r:id="rId3"/>
  <headerFooter alignWithMargins="0">
    <oddHeader>&amp;C&amp;9&amp;Y&amp;A&amp;R&amp;9&amp;YStrana &amp;P</oddHeader>
    <oddFooter>&amp;C&amp;"Arial,Italic"&amp;9&amp;Y&amp;F by Mladen Čačić</oddFooter>
  </headerFooter>
  <legacyDrawing r:id="rId2"/>
</worksheet>
</file>

<file path=xl/worksheets/sheet23.xml><?xml version="1.0" encoding="utf-8"?>
<worksheet xmlns="http://schemas.openxmlformats.org/spreadsheetml/2006/main" xmlns:r="http://schemas.openxmlformats.org/officeDocument/2006/relationships">
  <sheetPr codeName="Sheet24">
    <tabColor indexed="51"/>
  </sheetPr>
  <dimension ref="A1:K120"/>
  <sheetViews>
    <sheetView showRowColHeaders="0" zoomScalePageLayoutView="0" workbookViewId="0" topLeftCell="A1">
      <selection activeCell="L23" sqref="L23"/>
    </sheetView>
  </sheetViews>
  <sheetFormatPr defaultColWidth="9.140625" defaultRowHeight="12.75"/>
  <cols>
    <col min="1" max="1" width="4.57421875" style="7" customWidth="1"/>
    <col min="2" max="2" width="20.8515625" style="6" customWidth="1"/>
    <col min="3" max="3" width="19.28125" style="6" customWidth="1"/>
    <col min="4" max="4" width="11.28125" style="6" customWidth="1"/>
    <col min="5" max="5" width="7.28125" style="6" customWidth="1"/>
    <col min="6" max="6" width="6.7109375" style="7" customWidth="1"/>
    <col min="7" max="7" width="6.7109375" style="6" customWidth="1"/>
    <col min="8" max="8" width="8.421875" style="6" customWidth="1"/>
    <col min="9" max="9" width="9.421875" style="33" customWidth="1"/>
    <col min="10" max="16384" width="9.140625" style="6" customWidth="1"/>
  </cols>
  <sheetData>
    <row r="1" spans="1:11" ht="12.75">
      <c r="A1" s="250" t="s">
        <v>248</v>
      </c>
      <c r="B1" s="251"/>
      <c r="C1" s="252" t="str">
        <f>IF(ISNONTEXT('Organizacija natjecanja'!$H$2)=TRUE,"",'Organizacija natjecanja'!$H$2)</f>
        <v>KUP "BLJESAK"</v>
      </c>
      <c r="D1" s="308"/>
      <c r="E1" s="253"/>
      <c r="F1" s="254"/>
      <c r="G1" s="308"/>
      <c r="H1" s="309"/>
      <c r="K1" s="16"/>
    </row>
    <row r="2" spans="1:8" ht="12.75">
      <c r="A2" s="256" t="s">
        <v>249</v>
      </c>
      <c r="B2" s="257"/>
      <c r="C2" s="258" t="str">
        <f>IF(ISNONTEXT('Organizacija natjecanja'!$H$5)=TRUE,"",'Organizacija natjecanja'!$H$5)</f>
        <v>Lipik, 28.04.2009.g.</v>
      </c>
      <c r="D2" s="310"/>
      <c r="E2" s="259"/>
      <c r="F2" s="261"/>
      <c r="G2" s="310"/>
      <c r="H2" s="311"/>
    </row>
    <row r="3" spans="1:8" ht="12.75">
      <c r="A3" s="256" t="s">
        <v>250</v>
      </c>
      <c r="B3" s="257"/>
      <c r="C3" s="261" t="str">
        <f>IF(ISNONTEXT('Organizacija natjecanja'!$H$7)=TRUE,"",'Organizacija natjecanja'!$H$7)</f>
        <v>ŠRS Požeško slavonske županije</v>
      </c>
      <c r="D3" s="310"/>
      <c r="E3" s="262"/>
      <c r="F3" s="263"/>
      <c r="G3" s="310"/>
      <c r="H3" s="311"/>
    </row>
    <row r="4" spans="1:9" ht="12.75">
      <c r="A4" s="256" t="s">
        <v>251</v>
      </c>
      <c r="B4" s="257"/>
      <c r="C4" s="261" t="str">
        <f>IF(ISNONTEXT('Organizacija natjecanja'!$H$13)=TRUE,"",'Organizacija natjecanja'!$H$13)</f>
        <v>ŠRD Pakrac Pakrac</v>
      </c>
      <c r="D4" s="310"/>
      <c r="E4" s="262"/>
      <c r="F4" s="263"/>
      <c r="G4" s="310"/>
      <c r="H4" s="311"/>
      <c r="I4" s="7"/>
    </row>
    <row r="5" spans="1:8" ht="12.75">
      <c r="A5" s="256" t="s">
        <v>252</v>
      </c>
      <c r="B5" s="257"/>
      <c r="C5" s="261" t="str">
        <f>IF(ISNONTEXT('Organizacija natjecanja'!$H$4)=TRUE,"",'Organizacija natjecanja'!$H$4)</f>
        <v>Jezero Raminac</v>
      </c>
      <c r="D5" s="310"/>
      <c r="E5" s="262"/>
      <c r="F5" s="263"/>
      <c r="G5" s="310"/>
      <c r="H5" s="311"/>
    </row>
    <row r="6" spans="1:8" ht="12.75">
      <c r="A6" s="256"/>
      <c r="B6" s="257"/>
      <c r="C6" s="261"/>
      <c r="D6" s="310"/>
      <c r="E6" s="262"/>
      <c r="F6" s="263"/>
      <c r="G6" s="310"/>
      <c r="H6" s="311"/>
    </row>
    <row r="7" spans="1:8" ht="14.25" customHeight="1">
      <c r="A7" s="312" t="s">
        <v>101</v>
      </c>
      <c r="B7" s="266"/>
      <c r="C7" s="267" t="str">
        <f>IF(ISBLANK('Organizacija natjecanja'!$H$9)=TRUE,"",'Organizacija natjecanja'!$H$9)</f>
        <v>SENIORI</v>
      </c>
      <c r="D7" s="313"/>
      <c r="E7" s="268"/>
      <c r="F7" s="269"/>
      <c r="G7" s="313"/>
      <c r="H7" s="314"/>
    </row>
    <row r="8" spans="1:8" ht="12.75">
      <c r="A8" s="329"/>
      <c r="B8" s="323"/>
      <c r="C8" s="324"/>
      <c r="D8" s="122"/>
      <c r="E8" s="325"/>
      <c r="F8" s="329"/>
      <c r="G8" s="122"/>
      <c r="H8" s="330"/>
    </row>
    <row r="9" spans="1:9" ht="12.75" customHeight="1">
      <c r="A9" s="465" t="s">
        <v>262</v>
      </c>
      <c r="B9" s="331" t="s">
        <v>22</v>
      </c>
      <c r="C9" s="331" t="s">
        <v>21</v>
      </c>
      <c r="D9" s="332" t="s">
        <v>266</v>
      </c>
      <c r="E9" s="333" t="s">
        <v>102</v>
      </c>
      <c r="F9" s="334" t="s">
        <v>267</v>
      </c>
      <c r="G9" s="334" t="s">
        <v>24</v>
      </c>
      <c r="H9" s="335" t="s">
        <v>257</v>
      </c>
      <c r="I9" s="59"/>
    </row>
    <row r="10" spans="1:9" ht="12.75">
      <c r="A10" s="286">
        <f>IF(ISNUMBER(F10)=FALSE,"",1)</f>
        <v>1</v>
      </c>
      <c r="B10" s="295" t="str">
        <f>IF(ISNONTEXT('Pojedinačni plasman'!A6)=TRUE,"",'Pojedinačni plasman'!A6)</f>
        <v>Ivan Kovač</v>
      </c>
      <c r="C10" s="296" t="str">
        <f>IF(ISNONTEXT('Pojedinačni plasman'!B6)=TRUE,"",'Pojedinačni plasman'!B6)</f>
        <v>Korana Karlovac</v>
      </c>
      <c r="D10" s="326">
        <f>IF(ISNUMBER('Pojedinačni plasman'!E6)=FALSE,"",'Pojedinačni plasman'!E6)</f>
        <v>1</v>
      </c>
      <c r="E10" s="348">
        <f>IF(ISNUMBER('Pojedinačni plasman'!F6)=FALSE,"",'Pojedinačni plasman'!F6)</f>
        <v>5000</v>
      </c>
      <c r="F10" s="319">
        <f>IF(ISNUMBER('Pojedinačni plasman'!C6)=FALSE,"",'Pojedinačni plasman'!C6)</f>
        <v>1</v>
      </c>
      <c r="G10" s="319" t="str">
        <f>IF(ISNONTEXT('Pojedinačni plasman'!D6)=TRUE,"",'Pojedinačni plasman'!D6)</f>
        <v>E</v>
      </c>
      <c r="H10" s="288">
        <f>IF(ISNUMBER('Pojedinačni plasman'!G6)=FALSE,"",'Pojedinačni plasman'!G6)</f>
        <v>1</v>
      </c>
      <c r="I10" s="61"/>
    </row>
    <row r="11" spans="1:9" ht="12.75">
      <c r="A11" s="280">
        <f>IF(ISNUMBER(F11)=FALSE,"",2)</f>
        <v>2</v>
      </c>
      <c r="B11" s="297" t="str">
        <f>IF(ISNONTEXT('Pojedinačni plasman'!A7)=TRUE,"",'Pojedinačni plasman'!A7)</f>
        <v>Damir Jauševac</v>
      </c>
      <c r="C11" s="298" t="str">
        <f>IF(ISNONTEXT('Pojedinačni plasman'!B7)=TRUE,"",'Pojedinačni plasman'!B7)</f>
        <v>Korana Karlovac</v>
      </c>
      <c r="D11" s="327">
        <f>IF(ISNUMBER('Pojedinačni plasman'!E7)=FALSE,"",'Pojedinačni plasman'!E7)</f>
        <v>1</v>
      </c>
      <c r="E11" s="349">
        <f>IF(ISNUMBER('Pojedinačni plasman'!F7)=FALSE,"",'Pojedinačni plasman'!F7)</f>
        <v>5000</v>
      </c>
      <c r="F11" s="320">
        <f>IF(ISNUMBER('Pojedinačni plasman'!C7)=FALSE,"",'Pojedinačni plasman'!C7)</f>
        <v>1</v>
      </c>
      <c r="G11" s="320" t="str">
        <f>IF(ISNONTEXT('Pojedinačni plasman'!D7)=TRUE,"",'Pojedinačni plasman'!D7)</f>
        <v>D</v>
      </c>
      <c r="H11" s="282">
        <f>IF(ISNUMBER('Pojedinačni plasman'!G7)=FALSE,"",'Pojedinačni plasman'!G7)</f>
        <v>1</v>
      </c>
      <c r="I11" s="61"/>
    </row>
    <row r="12" spans="1:9" ht="12.75">
      <c r="A12" s="280">
        <f>IF(ISNUMBER(F12)=FALSE,"",3)</f>
        <v>3</v>
      </c>
      <c r="B12" s="297" t="str">
        <f>IF(ISNONTEXT('Pojedinačni plasman'!A8)=TRUE,"",'Pojedinačni plasman'!A8)</f>
        <v>Hrvoje Kovač</v>
      </c>
      <c r="C12" s="298" t="str">
        <f>IF(ISNONTEXT('Pojedinačni plasman'!B8)=TRUE,"",'Pojedinačni plasman'!B8)</f>
        <v>Korana Karlovac</v>
      </c>
      <c r="D12" s="327">
        <f>IF(ISNUMBER('Pojedinačni plasman'!E8)=FALSE,"",'Pojedinačni plasman'!E8)</f>
        <v>1</v>
      </c>
      <c r="E12" s="349">
        <f>IF(ISNUMBER('Pojedinačni plasman'!F8)=FALSE,"",'Pojedinačni plasman'!F8)</f>
        <v>5000</v>
      </c>
      <c r="F12" s="320">
        <f>IF(ISNUMBER('Pojedinačni plasman'!C8)=FALSE,"",'Pojedinačni plasman'!C8)</f>
        <v>1</v>
      </c>
      <c r="G12" s="320" t="str">
        <f>IF(ISNONTEXT('Pojedinačni plasman'!D8)=TRUE,"",'Pojedinačni plasman'!D8)</f>
        <v>C</v>
      </c>
      <c r="H12" s="282">
        <f>IF(ISNUMBER('Pojedinačni plasman'!G8)=FALSE,"",'Pojedinačni plasman'!G8)</f>
        <v>1</v>
      </c>
      <c r="I12" s="61"/>
    </row>
    <row r="13" spans="1:10" ht="12.75">
      <c r="A13" s="280">
        <f>IF(ISNUMBER(F13)=FALSE,"",4)</f>
        <v>4</v>
      </c>
      <c r="B13" s="297" t="str">
        <f>IF(ISNONTEXT('Pojedinačni plasman'!A9)=TRUE,"",'Pojedinačni plasman'!A9)</f>
        <v>Nenad Viboh</v>
      </c>
      <c r="C13" s="298" t="str">
        <f>IF(ISNONTEXT('Pojedinačni plasman'!B9)=TRUE,"",'Pojedinačni plasman'!B9)</f>
        <v>Korana Karlovac</v>
      </c>
      <c r="D13" s="327">
        <f>IF(ISNUMBER('Pojedinačni plasman'!E9)=FALSE,"",'Pojedinačni plasman'!E9)</f>
        <v>1</v>
      </c>
      <c r="E13" s="349">
        <f>IF(ISNUMBER('Pojedinačni plasman'!F9)=FALSE,"",'Pojedinačni plasman'!F9)</f>
        <v>5000</v>
      </c>
      <c r="F13" s="320">
        <f>IF(ISNUMBER('Pojedinačni plasman'!C9)=FALSE,"",'Pojedinačni plasman'!C9)</f>
        <v>1</v>
      </c>
      <c r="G13" s="320" t="str">
        <f>IF(ISNONTEXT('Pojedinačni plasman'!D9)=TRUE,"",'Pojedinačni plasman'!D9)</f>
        <v>B</v>
      </c>
      <c r="H13" s="282">
        <f>IF(ISNUMBER('Pojedinačni plasman'!G9)=FALSE,"",'Pojedinačni plasman'!G9)</f>
        <v>1</v>
      </c>
      <c r="I13" s="61"/>
      <c r="J13" s="26"/>
    </row>
    <row r="14" spans="1:9" ht="12.75">
      <c r="A14" s="280">
        <f>IF(ISNUMBER(F14)=FALSE,"",5)</f>
        <v>5</v>
      </c>
      <c r="B14" s="297" t="str">
        <f>IF(ISNONTEXT('Pojedinačni plasman'!A10)=TRUE,"",'Pojedinačni plasman'!A10)</f>
        <v>Elvis Šinko</v>
      </c>
      <c r="C14" s="298" t="str">
        <f>IF(ISNONTEXT('Pojedinačni plasman'!B10)=TRUE,"",'Pojedinačni plasman'!B10)</f>
        <v>Korana Karlovac</v>
      </c>
      <c r="D14" s="327">
        <f>IF(ISNUMBER('Pojedinačni plasman'!E10)=FALSE,"",'Pojedinačni plasman'!E10)</f>
        <v>1</v>
      </c>
      <c r="E14" s="349">
        <f>IF(ISNUMBER('Pojedinačni plasman'!F10)=FALSE,"",'Pojedinačni plasman'!F10)</f>
        <v>5000</v>
      </c>
      <c r="F14" s="320">
        <f>IF(ISNUMBER('Pojedinačni plasman'!C10)=FALSE,"",'Pojedinačni plasman'!C10)</f>
        <v>1</v>
      </c>
      <c r="G14" s="320" t="str">
        <f>IF(ISNONTEXT('Pojedinačni plasman'!D10)=TRUE,"",'Pojedinačni plasman'!D10)</f>
        <v>A</v>
      </c>
      <c r="H14" s="282">
        <f>IF(ISNUMBER('Pojedinačni plasman'!G10)=FALSE,"",'Pojedinačni plasman'!G10)</f>
        <v>1</v>
      </c>
      <c r="I14" s="61"/>
    </row>
    <row r="15" spans="1:9" ht="12.75">
      <c r="A15" s="280">
        <f>IF(ISNUMBER(F15)=FALSE,"",6)</f>
        <v>6</v>
      </c>
      <c r="B15" s="297" t="str">
        <f>IF(ISNONTEXT('Pojedinačni plasman'!A11)=TRUE,"",'Pojedinačni plasman'!A11)</f>
        <v>Stjepan Gorički</v>
      </c>
      <c r="C15" s="298" t="str">
        <f>IF(ISNONTEXT('Pojedinačni plasman'!B11)=TRUE,"",'Pojedinačni plasman'!B11)</f>
        <v>Rak Rakitje</v>
      </c>
      <c r="D15" s="327">
        <f>IF(ISNUMBER('Pojedinačni plasman'!E11)=FALSE,"",'Pojedinačni plasman'!E11)</f>
        <v>2</v>
      </c>
      <c r="E15" s="349">
        <f>IF(ISNUMBER('Pojedinačni plasman'!F11)=FALSE,"",'Pojedinačni plasman'!F11)</f>
        <v>4740</v>
      </c>
      <c r="F15" s="320">
        <f>IF(ISNUMBER('Pojedinačni plasman'!C11)=FALSE,"",'Pojedinačni plasman'!C11)</f>
        <v>3</v>
      </c>
      <c r="G15" s="320" t="str">
        <f>IF(ISNONTEXT('Pojedinačni plasman'!D11)=TRUE,"",'Pojedinačni plasman'!D11)</f>
        <v>C</v>
      </c>
      <c r="H15" s="282">
        <f>IF(ISNUMBER('Pojedinačni plasman'!G11)=FALSE,"",'Pojedinačni plasman'!G11)</f>
        <v>6</v>
      </c>
      <c r="I15" s="61"/>
    </row>
    <row r="16" spans="1:9" ht="12.75">
      <c r="A16" s="280">
        <f>IF(ISNUMBER(F16)=FALSE,"",7)</f>
        <v>7</v>
      </c>
      <c r="B16" s="297" t="str">
        <f>IF(ISNONTEXT('Pojedinačni plasman'!A12)=TRUE,"",'Pojedinačni plasman'!A12)</f>
        <v>Goran Štargl</v>
      </c>
      <c r="C16" s="298" t="str">
        <f>IF(ISNONTEXT('Pojedinačni plasman'!B12)=TRUE,"",'Pojedinačni plasman'!B12)</f>
        <v>Štuka Torčec</v>
      </c>
      <c r="D16" s="327">
        <f>IF(ISNUMBER('Pojedinačni plasman'!E12)=FALSE,"",'Pojedinačni plasman'!E12)</f>
        <v>2</v>
      </c>
      <c r="E16" s="349">
        <f>IF(ISNUMBER('Pojedinačni plasman'!F12)=FALSE,"",'Pojedinačni plasman'!F12)</f>
        <v>4235</v>
      </c>
      <c r="F16" s="320">
        <f>IF(ISNUMBER('Pojedinačni plasman'!C12)=FALSE,"",'Pojedinačni plasman'!C12)</f>
        <v>2</v>
      </c>
      <c r="G16" s="320" t="str">
        <f>IF(ISNONTEXT('Pojedinačni plasman'!D12)=TRUE,"",'Pojedinačni plasman'!D12)</f>
        <v>A</v>
      </c>
      <c r="H16" s="282">
        <f>IF(ISNUMBER('Pojedinačni plasman'!G12)=FALSE,"",'Pojedinačni plasman'!G12)</f>
        <v>7</v>
      </c>
      <c r="I16" s="61"/>
    </row>
    <row r="17" spans="1:9" ht="12.75">
      <c r="A17" s="280">
        <f>IF(ISNUMBER(F17)=FALSE,"",8)</f>
        <v>8</v>
      </c>
      <c r="B17" s="297" t="str">
        <f>IF(ISNONTEXT('Pojedinačni plasman'!A13)=TRUE,"",'Pojedinačni plasman'!A13)</f>
        <v>Ivan Finek</v>
      </c>
      <c r="C17" s="298" t="str">
        <f>IF(ISNONTEXT('Pojedinačni plasman'!B13)=TRUE,"",'Pojedinačni plasman'!B13)</f>
        <v>Jez Jasenovac</v>
      </c>
      <c r="D17" s="327">
        <f>IF(ISNUMBER('Pojedinačni plasman'!E13)=FALSE,"",'Pojedinačni plasman'!E13)</f>
        <v>2</v>
      </c>
      <c r="E17" s="349">
        <f>IF(ISNUMBER('Pojedinačni plasman'!F13)=FALSE,"",'Pojedinačni plasman'!F13)</f>
        <v>3800</v>
      </c>
      <c r="F17" s="320">
        <f>IF(ISNUMBER('Pojedinačni plasman'!C13)=FALSE,"",'Pojedinačni plasman'!C13)</f>
        <v>12</v>
      </c>
      <c r="G17" s="320" t="str">
        <f>IF(ISNONTEXT('Pojedinačni plasman'!D13)=TRUE,"",'Pojedinačni plasman'!D13)</f>
        <v>E</v>
      </c>
      <c r="H17" s="282">
        <f>IF(ISNUMBER('Pojedinačni plasman'!G13)=FALSE,"",'Pojedinačni plasman'!G13)</f>
        <v>8</v>
      </c>
      <c r="I17" s="61"/>
    </row>
    <row r="18" spans="1:9" ht="12.75">
      <c r="A18" s="280">
        <f>IF(ISNUMBER(F18)=FALSE,"",9)</f>
        <v>9</v>
      </c>
      <c r="B18" s="297" t="str">
        <f>IF(ISNONTEXT('Pojedinačni plasman'!A14)=TRUE,"",'Pojedinačni plasman'!A14)</f>
        <v>Marijan Kumić</v>
      </c>
      <c r="C18" s="298" t="str">
        <f>IF(ISNONTEXT('Pojedinačni plasman'!B14)=TRUE,"",'Pojedinačni plasman'!B14)</f>
        <v>Jez Jasenovac</v>
      </c>
      <c r="D18" s="327">
        <f>IF(ISNUMBER('Pojedinačni plasman'!E14)=FALSE,"",'Pojedinačni plasman'!E14)</f>
        <v>2</v>
      </c>
      <c r="E18" s="349">
        <f>IF(ISNUMBER('Pojedinačni plasman'!F14)=FALSE,"",'Pojedinačni plasman'!F14)</f>
        <v>3700</v>
      </c>
      <c r="F18" s="320">
        <f>IF(ISNUMBER('Pojedinačni plasman'!C14)=FALSE,"",'Pojedinačni plasman'!C14)</f>
        <v>12</v>
      </c>
      <c r="G18" s="320" t="str">
        <f>IF(ISNONTEXT('Pojedinačni plasman'!D14)=TRUE,"",'Pojedinačni plasman'!D14)</f>
        <v>B</v>
      </c>
      <c r="H18" s="282">
        <f>IF(ISNUMBER('Pojedinačni plasman'!G14)=FALSE,"",'Pojedinačni plasman'!G14)</f>
        <v>9</v>
      </c>
      <c r="I18" s="61"/>
    </row>
    <row r="19" spans="1:9" ht="12.75">
      <c r="A19" s="280">
        <f>IF(ISNUMBER(F19)=FALSE,"",10)</f>
        <v>10</v>
      </c>
      <c r="B19" s="297" t="str">
        <f>IF(ISNONTEXT('Pojedinačni plasman'!A15)=TRUE,"",'Pojedinačni plasman'!A15)</f>
        <v>Damir Škorić</v>
      </c>
      <c r="C19" s="298" t="str">
        <f>IF(ISNONTEXT('Pojedinačni plasman'!B15)=TRUE,"",'Pojedinačni plasman'!B15)</f>
        <v>Varaždin Varaždin</v>
      </c>
      <c r="D19" s="327">
        <f>IF(ISNUMBER('Pojedinačni plasman'!E15)=FALSE,"",'Pojedinačni plasman'!E15)</f>
        <v>2</v>
      </c>
      <c r="E19" s="349">
        <f>IF(ISNUMBER('Pojedinačni plasman'!F15)=FALSE,"",'Pojedinačni plasman'!F15)</f>
        <v>3700</v>
      </c>
      <c r="F19" s="320">
        <f>IF(ISNUMBER('Pojedinačni plasman'!C15)=FALSE,"",'Pojedinačni plasman'!C15)</f>
        <v>5</v>
      </c>
      <c r="G19" s="320" t="str">
        <f>IF(ISNONTEXT('Pojedinačni plasman'!D15)=TRUE,"",'Pojedinačni plasman'!D15)</f>
        <v>D</v>
      </c>
      <c r="H19" s="282">
        <f>IF(ISNUMBER('Pojedinačni plasman'!G15)=FALSE,"",'Pojedinačni plasman'!G15)</f>
        <v>9</v>
      </c>
      <c r="I19" s="61"/>
    </row>
    <row r="20" spans="1:10" ht="12.75">
      <c r="A20" s="280">
        <f>IF(ISNUMBER(F20)=FALSE,"",11)</f>
        <v>11</v>
      </c>
      <c r="B20" s="297" t="str">
        <f>IF(ISNONTEXT('Pojedinačni plasman'!A16)=TRUE,"",'Pojedinačni plasman'!A16)</f>
        <v>Siniša Finek</v>
      </c>
      <c r="C20" s="298" t="str">
        <f>IF(ISNONTEXT('Pojedinačni plasman'!B16)=TRUE,"",'Pojedinačni plasman'!B16)</f>
        <v>Jez Jasenovac</v>
      </c>
      <c r="D20" s="327">
        <f>IF(ISNUMBER('Pojedinačni plasman'!E16)=FALSE,"",'Pojedinačni plasman'!E16)</f>
        <v>3</v>
      </c>
      <c r="E20" s="349">
        <f>IF(ISNUMBER('Pojedinačni plasman'!F16)=FALSE,"",'Pojedinačni plasman'!F16)</f>
        <v>4500</v>
      </c>
      <c r="F20" s="320">
        <f>IF(ISNUMBER('Pojedinačni plasman'!C16)=FALSE,"",'Pojedinačni plasman'!C16)</f>
        <v>12</v>
      </c>
      <c r="G20" s="320" t="str">
        <f>IF(ISNONTEXT('Pojedinačni plasman'!D16)=TRUE,"",'Pojedinačni plasman'!D16)</f>
        <v>C</v>
      </c>
      <c r="H20" s="282">
        <f>IF(ISNUMBER('Pojedinačni plasman'!G16)=FALSE,"",'Pojedinačni plasman'!G16)</f>
        <v>11</v>
      </c>
      <c r="I20" s="61"/>
      <c r="J20" s="26"/>
    </row>
    <row r="21" spans="1:9" ht="12.75">
      <c r="A21" s="280">
        <f>IF(ISNUMBER(F21)=FALSE,"",12)</f>
        <v>12</v>
      </c>
      <c r="B21" s="297" t="str">
        <f>IF(ISNONTEXT('Pojedinačni plasman'!A17)=TRUE,"",'Pojedinačni plasman'!A17)</f>
        <v>Mladen Kečkeš</v>
      </c>
      <c r="C21" s="298" t="str">
        <f>IF(ISNONTEXT('Pojedinačni plasman'!B17)=TRUE,"",'Pojedinačni plasman'!B17)</f>
        <v>Rak Rakitje</v>
      </c>
      <c r="D21" s="327">
        <f>IF(ISNUMBER('Pojedinačni plasman'!E17)=FALSE,"",'Pojedinačni plasman'!E17)</f>
        <v>3</v>
      </c>
      <c r="E21" s="349">
        <f>IF(ISNUMBER('Pojedinačni plasman'!F17)=FALSE,"",'Pojedinačni plasman'!F17)</f>
        <v>2978</v>
      </c>
      <c r="F21" s="320">
        <f>IF(ISNUMBER('Pojedinačni plasman'!C17)=FALSE,"",'Pojedinačni plasman'!C17)</f>
        <v>3</v>
      </c>
      <c r="G21" s="320" t="str">
        <f>IF(ISNONTEXT('Pojedinačni plasman'!D17)=TRUE,"",'Pojedinačni plasman'!D17)</f>
        <v>A</v>
      </c>
      <c r="H21" s="282">
        <f>IF(ISNUMBER('Pojedinačni plasman'!G17)=FALSE,"",'Pojedinačni plasman'!G17)</f>
        <v>12</v>
      </c>
      <c r="I21" s="61"/>
    </row>
    <row r="22" spans="1:9" ht="12.75">
      <c r="A22" s="280">
        <f>IF(ISNUMBER(F22)=FALSE,"",13)</f>
        <v>13</v>
      </c>
      <c r="B22" s="297" t="str">
        <f>IF(ISNONTEXT('Pojedinačni plasman'!A18)=TRUE,"",'Pojedinačni plasman'!A18)</f>
        <v>Mario Akmačić</v>
      </c>
      <c r="C22" s="298" t="str">
        <f>IF(ISNONTEXT('Pojedinačni plasman'!B18)=TRUE,"",'Pojedinačni plasman'!B18)</f>
        <v>Jez Jasenovac</v>
      </c>
      <c r="D22" s="327">
        <f>IF(ISNUMBER('Pojedinačni plasman'!E18)=FALSE,"",'Pojedinačni plasman'!E18)</f>
        <v>3</v>
      </c>
      <c r="E22" s="349">
        <f>IF(ISNUMBER('Pojedinačni plasman'!F18)=FALSE,"",'Pojedinačni plasman'!F18)</f>
        <v>2970</v>
      </c>
      <c r="F22" s="320">
        <f>IF(ISNUMBER('Pojedinačni plasman'!C18)=FALSE,"",'Pojedinačni plasman'!C18)</f>
        <v>12</v>
      </c>
      <c r="G22" s="320" t="str">
        <f>IF(ISNONTEXT('Pojedinačni plasman'!D18)=TRUE,"",'Pojedinačni plasman'!D18)</f>
        <v>D</v>
      </c>
      <c r="H22" s="282">
        <f>IF(ISNUMBER('Pojedinačni plasman'!G18)=FALSE,"",'Pojedinačni plasman'!G18)</f>
        <v>13</v>
      </c>
      <c r="I22" s="61"/>
    </row>
    <row r="23" spans="1:9" ht="12.75">
      <c r="A23" s="280">
        <f>IF(ISNUMBER(F23)=FALSE,"",14)</f>
        <v>14</v>
      </c>
      <c r="B23" s="297" t="str">
        <f>IF(ISNONTEXT('Pojedinačni plasman'!A19)=TRUE,"",'Pojedinačni plasman'!A19)</f>
        <v>Goran Matijašić</v>
      </c>
      <c r="C23" s="298" t="str">
        <f>IF(ISNONTEXT('Pojedinačni plasman'!B19)=TRUE,"",'Pojedinačni plasman'!B19)</f>
        <v>Štuka Torčec</v>
      </c>
      <c r="D23" s="327">
        <f>IF(ISNUMBER('Pojedinačni plasman'!E19)=FALSE,"",'Pojedinačni plasman'!E19)</f>
        <v>3</v>
      </c>
      <c r="E23" s="349">
        <f>IF(ISNUMBER('Pojedinačni plasman'!F19)=FALSE,"",'Pojedinačni plasman'!F19)</f>
        <v>2536</v>
      </c>
      <c r="F23" s="320">
        <f>IF(ISNUMBER('Pojedinačni plasman'!C19)=FALSE,"",'Pojedinačni plasman'!C19)</f>
        <v>2</v>
      </c>
      <c r="G23" s="320" t="str">
        <f>IF(ISNONTEXT('Pojedinačni plasman'!D19)=TRUE,"",'Pojedinačni plasman'!D19)</f>
        <v>B</v>
      </c>
      <c r="H23" s="282">
        <f>IF(ISNUMBER('Pojedinačni plasman'!G19)=FALSE,"",'Pojedinačni plasman'!G19)</f>
        <v>14</v>
      </c>
      <c r="I23" s="61"/>
    </row>
    <row r="24" spans="1:9" ht="12.75">
      <c r="A24" s="280">
        <f>IF(ISNUMBER(F24)=FALSE,"",15)</f>
        <v>15</v>
      </c>
      <c r="B24" s="297" t="str">
        <f>IF(ISNONTEXT('Pojedinačni plasman'!A20)=TRUE,"",'Pojedinačni plasman'!A20)</f>
        <v>Josip Kutlić</v>
      </c>
      <c r="C24" s="298" t="str">
        <f>IF(ISNONTEXT('Pojedinačni plasman'!B20)=TRUE,"",'Pojedinačni plasman'!B20)</f>
        <v>Ilova Garešnica</v>
      </c>
      <c r="D24" s="327">
        <f>IF(ISNUMBER('Pojedinačni plasman'!E20)=FALSE,"",'Pojedinačni plasman'!E20)</f>
        <v>3.5</v>
      </c>
      <c r="E24" s="349">
        <f>IF(ISNUMBER('Pojedinačni plasman'!F20)=FALSE,"",'Pojedinačni plasman'!F20)</f>
        <v>1765</v>
      </c>
      <c r="F24" s="320">
        <f>IF(ISNUMBER('Pojedinačni plasman'!C20)=FALSE,"",'Pojedinačni plasman'!C20)</f>
        <v>11</v>
      </c>
      <c r="G24" s="320" t="str">
        <f>IF(ISNONTEXT('Pojedinačni plasman'!D20)=TRUE,"",'Pojedinačni plasman'!D20)</f>
        <v>E</v>
      </c>
      <c r="H24" s="282">
        <f>IF(ISNUMBER('Pojedinačni plasman'!G20)=FALSE,"",'Pojedinačni plasman'!G20)</f>
        <v>15</v>
      </c>
      <c r="I24" s="61"/>
    </row>
    <row r="25" spans="1:9" ht="12.75">
      <c r="A25" s="280">
        <f>IF(ISNUMBER(F25)=FALSE,"",16)</f>
        <v>16</v>
      </c>
      <c r="B25" s="297" t="str">
        <f>IF(ISNONTEXT('Pojedinačni plasman'!A21)=TRUE,"",'Pojedinačni plasman'!A21)</f>
        <v>Zoran Štefanić</v>
      </c>
      <c r="C25" s="298" t="str">
        <f>IF(ISNONTEXT('Pojedinačni plasman'!B21)=TRUE,"",'Pojedinačni plasman'!B21)</f>
        <v>TPK Zagreb</v>
      </c>
      <c r="D25" s="327">
        <f>IF(ISNUMBER('Pojedinačni plasman'!E21)=FALSE,"",'Pojedinačni plasman'!E21)</f>
        <v>3.5</v>
      </c>
      <c r="E25" s="349">
        <f>IF(ISNUMBER('Pojedinačni plasman'!F21)=FALSE,"",'Pojedinačni plasman'!F21)</f>
        <v>1765</v>
      </c>
      <c r="F25" s="320">
        <f>IF(ISNUMBER('Pojedinačni plasman'!C21)=FALSE,"",'Pojedinačni plasman'!C21)</f>
        <v>10</v>
      </c>
      <c r="G25" s="320" t="str">
        <f>IF(ISNONTEXT('Pojedinačni plasman'!D21)=TRUE,"",'Pojedinačni plasman'!D21)</f>
        <v>E</v>
      </c>
      <c r="H25" s="282">
        <f>IF(ISNUMBER('Pojedinačni plasman'!G21)=FALSE,"",'Pojedinačni plasman'!G21)</f>
        <v>15</v>
      </c>
      <c r="I25" s="61"/>
    </row>
    <row r="26" spans="1:9" ht="12.75">
      <c r="A26" s="280">
        <f>IF(ISNUMBER(F26)=FALSE,"",17)</f>
        <v>17</v>
      </c>
      <c r="B26" s="297" t="str">
        <f>IF(ISNONTEXT('Pojedinačni plasman'!A22)=TRUE,"",'Pojedinačni plasman'!A22)</f>
        <v>Zlatko Šapina</v>
      </c>
      <c r="C26" s="298" t="str">
        <f>IF(ISNONTEXT('Pojedinačni plasman'!B22)=TRUE,"",'Pojedinačni plasman'!B22)</f>
        <v>Ilova Garešnica</v>
      </c>
      <c r="D26" s="327">
        <f>IF(ISNUMBER('Pojedinačni plasman'!E22)=FALSE,"",'Pojedinačni plasman'!E22)</f>
        <v>4</v>
      </c>
      <c r="E26" s="349">
        <f>IF(ISNUMBER('Pojedinačni plasman'!F22)=FALSE,"",'Pojedinačni plasman'!F22)</f>
        <v>2800</v>
      </c>
      <c r="F26" s="320">
        <f>IF(ISNUMBER('Pojedinačni plasman'!C22)=FALSE,"",'Pojedinačni plasman'!C22)</f>
        <v>11</v>
      </c>
      <c r="G26" s="320" t="str">
        <f>IF(ISNONTEXT('Pojedinačni plasman'!D22)=TRUE,"",'Pojedinačni plasman'!D22)</f>
        <v>A</v>
      </c>
      <c r="H26" s="282">
        <f>IF(ISNUMBER('Pojedinačni plasman'!G22)=FALSE,"",'Pojedinačni plasman'!G22)</f>
        <v>17</v>
      </c>
      <c r="I26" s="61"/>
    </row>
    <row r="27" spans="1:9" ht="12.75">
      <c r="A27" s="280">
        <f>IF(ISNUMBER(F27)=FALSE,"",18)</f>
        <v>18</v>
      </c>
      <c r="B27" s="297" t="str">
        <f>IF(ISNONTEXT('Pojedinačni plasman'!A23)=TRUE,"",'Pojedinačni plasman'!A23)</f>
        <v>Martin Vrčković</v>
      </c>
      <c r="C27" s="298" t="str">
        <f>IF(ISNONTEXT('Pojedinačni plasman'!B23)=TRUE,"",'Pojedinačni plasman'!B23)</f>
        <v>Rak Rakitje</v>
      </c>
      <c r="D27" s="327">
        <f>IF(ISNUMBER('Pojedinačni plasman'!E23)=FALSE,"",'Pojedinačni plasman'!E23)</f>
        <v>4</v>
      </c>
      <c r="E27" s="349">
        <f>IF(ISNUMBER('Pojedinačni plasman'!F23)=FALSE,"",'Pojedinačni plasman'!F23)</f>
        <v>2452</v>
      </c>
      <c r="F27" s="320">
        <f>IF(ISNUMBER('Pojedinačni plasman'!C23)=FALSE,"",'Pojedinačni plasman'!C23)</f>
        <v>3</v>
      </c>
      <c r="G27" s="320" t="str">
        <f>IF(ISNONTEXT('Pojedinačni plasman'!D23)=TRUE,"",'Pojedinačni plasman'!D23)</f>
        <v>B</v>
      </c>
      <c r="H27" s="282">
        <f>IF(ISNUMBER('Pojedinačni plasman'!G23)=FALSE,"",'Pojedinačni plasman'!G23)</f>
        <v>18</v>
      </c>
      <c r="I27" s="61"/>
    </row>
    <row r="28" spans="1:9" ht="12.75">
      <c r="A28" s="280">
        <f>IF(ISNUMBER(F28)=FALSE,"",19)</f>
        <v>19</v>
      </c>
      <c r="B28" s="297" t="str">
        <f>IF(ISNONTEXT('Pojedinačni plasman'!A24)=TRUE,"",'Pojedinačni plasman'!A24)</f>
        <v>Ljubo Matulin</v>
      </c>
      <c r="C28" s="298" t="str">
        <f>IF(ISNONTEXT('Pojedinačni plasman'!B24)=TRUE,"",'Pojedinačni plasman'!B24)</f>
        <v>Azzuro Varaždin</v>
      </c>
      <c r="D28" s="327">
        <f>IF(ISNUMBER('Pojedinačni plasman'!E24)=FALSE,"",'Pojedinačni plasman'!E24)</f>
        <v>4</v>
      </c>
      <c r="E28" s="349">
        <f>IF(ISNUMBER('Pojedinačni plasman'!F24)=FALSE,"",'Pojedinačni plasman'!F24)</f>
        <v>2005</v>
      </c>
      <c r="F28" s="320">
        <f>IF(ISNUMBER('Pojedinačni plasman'!C24)=FALSE,"",'Pojedinačni plasman'!C24)</f>
        <v>6</v>
      </c>
      <c r="G28" s="320" t="str">
        <f>IF(ISNONTEXT('Pojedinačni plasman'!D24)=TRUE,"",'Pojedinačni plasman'!D24)</f>
        <v>C</v>
      </c>
      <c r="H28" s="282">
        <f>IF(ISNUMBER('Pojedinačni plasman'!G24)=FALSE,"",'Pojedinačni plasman'!G24)</f>
        <v>19</v>
      </c>
      <c r="I28" s="61"/>
    </row>
    <row r="29" spans="1:9" ht="12.75">
      <c r="A29" s="280">
        <f>IF(ISNUMBER(F29)=FALSE,"",20)</f>
        <v>20</v>
      </c>
      <c r="B29" s="297" t="str">
        <f>IF(ISNONTEXT('Pojedinačni plasman'!A25)=TRUE,"",'Pojedinačni plasman'!A25)</f>
        <v>Zdravko Vrbanek</v>
      </c>
      <c r="C29" s="298" t="str">
        <f>IF(ISNONTEXT('Pojedinačni plasman'!B25)=TRUE,"",'Pojedinačni plasman'!B25)</f>
        <v>Bjelka GME Sunja</v>
      </c>
      <c r="D29" s="327">
        <f>IF(ISNUMBER('Pojedinačni plasman'!E25)=FALSE,"",'Pojedinačni plasman'!E25)</f>
        <v>4</v>
      </c>
      <c r="E29" s="349">
        <f>IF(ISNUMBER('Pojedinačni plasman'!F25)=FALSE,"",'Pojedinačni plasman'!F25)</f>
        <v>1790</v>
      </c>
      <c r="F29" s="320">
        <f>IF(ISNUMBER('Pojedinačni plasman'!C25)=FALSE,"",'Pojedinačni plasman'!C25)</f>
        <v>9</v>
      </c>
      <c r="G29" s="320" t="str">
        <f>IF(ISNONTEXT('Pojedinačni plasman'!D25)=TRUE,"",'Pojedinačni plasman'!D25)</f>
        <v>D</v>
      </c>
      <c r="H29" s="282">
        <f>IF(ISNUMBER('Pojedinačni plasman'!G25)=FALSE,"",'Pojedinačni plasman'!G25)</f>
        <v>20</v>
      </c>
      <c r="I29" s="61"/>
    </row>
    <row r="30" spans="1:9" ht="12.75">
      <c r="A30" s="280">
        <f>IF(ISNUMBER(F30)=FALSE,"",21)</f>
        <v>21</v>
      </c>
      <c r="B30" s="297" t="str">
        <f>IF(ISNONTEXT('Pojedinačni plasman'!A26)=TRUE,"",'Pojedinačni plasman'!A26)</f>
        <v>Vladimir Šuker</v>
      </c>
      <c r="C30" s="298" t="str">
        <f>IF(ISNONTEXT('Pojedinačni plasman'!B26)=TRUE,"",'Pojedinačni plasman'!B26)</f>
        <v>Bjelovar Bjelovar</v>
      </c>
      <c r="D30" s="327">
        <f>IF(ISNUMBER('Pojedinačni plasman'!E26)=FALSE,"",'Pojedinačni plasman'!E26)</f>
        <v>5</v>
      </c>
      <c r="E30" s="349">
        <f>IF(ISNUMBER('Pojedinačni plasman'!F26)=FALSE,"",'Pojedinačni plasman'!F26)</f>
        <v>2320</v>
      </c>
      <c r="F30" s="320">
        <f>IF(ISNUMBER('Pojedinačni plasman'!C26)=FALSE,"",'Pojedinačni plasman'!C26)</f>
        <v>4</v>
      </c>
      <c r="G30" s="320" t="str">
        <f>IF(ISNONTEXT('Pojedinačni plasman'!D26)=TRUE,"",'Pojedinačni plasman'!D26)</f>
        <v>B</v>
      </c>
      <c r="H30" s="282">
        <f>IF(ISNUMBER('Pojedinačni plasman'!G26)=FALSE,"",'Pojedinačni plasman'!G26)</f>
        <v>21</v>
      </c>
      <c r="I30" s="61"/>
    </row>
    <row r="31" spans="1:9" ht="12.75">
      <c r="A31" s="280">
        <f>IF(ISNUMBER(F31)=FALSE,"",22)</f>
        <v>22</v>
      </c>
      <c r="B31" s="297" t="str">
        <f>IF(ISNONTEXT('Pojedinačni plasman'!A27)=TRUE,"",'Pojedinačni plasman'!A27)</f>
        <v>Dražen Bajzek</v>
      </c>
      <c r="C31" s="298" t="str">
        <f>IF(ISNONTEXT('Pojedinačni plasman'!B27)=TRUE,"",'Pojedinačni plasman'!B27)</f>
        <v>Azzuro Varaždin</v>
      </c>
      <c r="D31" s="327">
        <f>IF(ISNUMBER('Pojedinačni plasman'!E27)=FALSE,"",'Pojedinačni plasman'!E27)</f>
        <v>5</v>
      </c>
      <c r="E31" s="349">
        <f>IF(ISNUMBER('Pojedinačni plasman'!F27)=FALSE,"",'Pojedinačni plasman'!F27)</f>
        <v>2105</v>
      </c>
      <c r="F31" s="320">
        <f>IF(ISNUMBER('Pojedinačni plasman'!C27)=FALSE,"",'Pojedinačni plasman'!C27)</f>
        <v>6</v>
      </c>
      <c r="G31" s="320" t="str">
        <f>IF(ISNONTEXT('Pojedinačni plasman'!D27)=TRUE,"",'Pojedinačni plasman'!D27)</f>
        <v>A</v>
      </c>
      <c r="H31" s="282">
        <f>IF(ISNUMBER('Pojedinačni plasman'!G27)=FALSE,"",'Pojedinačni plasman'!G27)</f>
        <v>22</v>
      </c>
      <c r="I31" s="61"/>
    </row>
    <row r="32" spans="1:9" ht="12.75">
      <c r="A32" s="280">
        <f>IF(ISNUMBER(F32)=FALSE,"",23)</f>
        <v>23</v>
      </c>
      <c r="B32" s="297" t="str">
        <f>IF(ISNONTEXT('Pojedinačni plasman'!A28)=TRUE,"",'Pojedinačni plasman'!A28)</f>
        <v>Ivan Fehir</v>
      </c>
      <c r="C32" s="298" t="str">
        <f>IF(ISNONTEXT('Pojedinačni plasman'!B28)=TRUE,"",'Pojedinačni plasman'!B28)</f>
        <v>Trnje-ŠR Zagreb</v>
      </c>
      <c r="D32" s="327">
        <f>IF(ISNUMBER('Pojedinačni plasman'!E28)=FALSE,"",'Pojedinačni plasman'!E28)</f>
        <v>5</v>
      </c>
      <c r="E32" s="349">
        <f>IF(ISNUMBER('Pojedinačni plasman'!F28)=FALSE,"",'Pojedinačni plasman'!F28)</f>
        <v>1790</v>
      </c>
      <c r="F32" s="320">
        <f>IF(ISNUMBER('Pojedinačni plasman'!C28)=FALSE,"",'Pojedinačni plasman'!C28)</f>
        <v>7</v>
      </c>
      <c r="G32" s="320" t="str">
        <f>IF(ISNONTEXT('Pojedinačni plasman'!D28)=TRUE,"",'Pojedinačni plasman'!D28)</f>
        <v>C</v>
      </c>
      <c r="H32" s="282">
        <f>IF(ISNUMBER('Pojedinačni plasman'!G28)=FALSE,"",'Pojedinačni plasman'!G28)</f>
        <v>23</v>
      </c>
      <c r="I32" s="61"/>
    </row>
    <row r="33" spans="1:9" ht="12.75">
      <c r="A33" s="280">
        <f>IF(ISNUMBER(F33)=FALSE,"",24)</f>
        <v>24</v>
      </c>
      <c r="B33" s="297" t="str">
        <f>IF(ISNONTEXT('Pojedinačni plasman'!A29)=TRUE,"",'Pojedinačni plasman'!A29)</f>
        <v>Damir Jauševac</v>
      </c>
      <c r="C33" s="298" t="str">
        <f>IF(ISNONTEXT('Pojedinačni plasman'!B29)=TRUE,"",'Pojedinačni plasman'!B29)</f>
        <v>Bjelka GME Sunja</v>
      </c>
      <c r="D33" s="327">
        <f>IF(ISNUMBER('Pojedinačni plasman'!E29)=FALSE,"",'Pojedinačni plasman'!E29)</f>
        <v>5</v>
      </c>
      <c r="E33" s="349">
        <f>IF(ISNUMBER('Pojedinačni plasman'!F29)=FALSE,"",'Pojedinačni plasman'!F29)</f>
        <v>1498</v>
      </c>
      <c r="F33" s="320">
        <f>IF(ISNUMBER('Pojedinačni plasman'!C29)=FALSE,"",'Pojedinačni plasman'!C29)</f>
        <v>9</v>
      </c>
      <c r="G33" s="320" t="str">
        <f>IF(ISNONTEXT('Pojedinačni plasman'!D29)=TRUE,"",'Pojedinačni plasman'!D29)</f>
        <v>E</v>
      </c>
      <c r="H33" s="282">
        <f>IF(ISNUMBER('Pojedinačni plasman'!G29)=FALSE,"",'Pojedinačni plasman'!G29)</f>
        <v>24</v>
      </c>
      <c r="I33" s="61"/>
    </row>
    <row r="34" spans="1:9" ht="12.75">
      <c r="A34" s="280">
        <f>IF(ISNUMBER(F34)=FALSE,"",25)</f>
        <v>25</v>
      </c>
      <c r="B34" s="297" t="str">
        <f>IF(ISNONTEXT('Pojedinačni plasman'!A30)=TRUE,"",'Pojedinačni plasman'!A30)</f>
        <v>Bengez Dražen</v>
      </c>
      <c r="C34" s="298" t="str">
        <f>IF(ISNONTEXT('Pojedinačni plasman'!B30)=TRUE,"",'Pojedinačni plasman'!B30)</f>
        <v>Ilova Garešnica</v>
      </c>
      <c r="D34" s="327">
        <f>IF(ISNUMBER('Pojedinačni plasman'!E30)=FALSE,"",'Pojedinačni plasman'!E30)</f>
        <v>5.5</v>
      </c>
      <c r="E34" s="349">
        <f>IF(ISNUMBER('Pojedinačni plasman'!F30)=FALSE,"",'Pojedinačni plasman'!F30)</f>
        <v>1765</v>
      </c>
      <c r="F34" s="320">
        <f>IF(ISNUMBER('Pojedinačni plasman'!C30)=FALSE,"",'Pojedinačni plasman'!C30)</f>
        <v>11</v>
      </c>
      <c r="G34" s="320" t="str">
        <f>IF(ISNONTEXT('Pojedinačni plasman'!D30)=TRUE,"",'Pojedinačni plasman'!D30)</f>
        <v>D</v>
      </c>
      <c r="H34" s="282">
        <f>IF(ISNUMBER('Pojedinačni plasman'!G30)=FALSE,"",'Pojedinačni plasman'!G30)</f>
        <v>25</v>
      </c>
      <c r="I34" s="61"/>
    </row>
    <row r="35" spans="1:9" ht="12.75">
      <c r="A35" s="280">
        <f>IF(ISNUMBER(F35)=FALSE,"",26)</f>
        <v>26</v>
      </c>
      <c r="B35" s="297" t="str">
        <f>IF(ISNONTEXT('Pojedinačni plasman'!A31)=TRUE,"",'Pojedinačni plasman'!A31)</f>
        <v>Zlatko Kraljević</v>
      </c>
      <c r="C35" s="298" t="str">
        <f>IF(ISNONTEXT('Pojedinačni plasman'!B31)=TRUE,"",'Pojedinačni plasman'!B31)</f>
        <v>TPK Zagreb</v>
      </c>
      <c r="D35" s="327">
        <f>IF(ISNUMBER('Pojedinačni plasman'!E31)=FALSE,"",'Pojedinačni plasman'!E31)</f>
        <v>5.5</v>
      </c>
      <c r="E35" s="349">
        <f>IF(ISNUMBER('Pojedinačni plasman'!F31)=FALSE,"",'Pojedinačni plasman'!F31)</f>
        <v>1765</v>
      </c>
      <c r="F35" s="320">
        <f>IF(ISNUMBER('Pojedinačni plasman'!C31)=FALSE,"",'Pojedinačni plasman'!C31)</f>
        <v>10</v>
      </c>
      <c r="G35" s="320" t="str">
        <f>IF(ISNONTEXT('Pojedinačni plasman'!D31)=TRUE,"",'Pojedinačni plasman'!D31)</f>
        <v>D</v>
      </c>
      <c r="H35" s="282">
        <f>IF(ISNUMBER('Pojedinačni plasman'!G31)=FALSE,"",'Pojedinačni plasman'!G31)</f>
        <v>25</v>
      </c>
      <c r="I35" s="61"/>
    </row>
    <row r="36" spans="1:9" ht="12.75">
      <c r="A36" s="280">
        <f>IF(ISNUMBER(F36)=FALSE,"",27)</f>
        <v>27</v>
      </c>
      <c r="B36" s="297" t="str">
        <f>IF(ISNONTEXT('Pojedinačni plasman'!A32)=TRUE,"",'Pojedinačni plasman'!A32)</f>
        <v>Mario Akmačić</v>
      </c>
      <c r="C36" s="298" t="str">
        <f>IF(ISNONTEXT('Pojedinačni plasman'!B32)=TRUE,"",'Pojedinačni plasman'!B32)</f>
        <v>Klen N.Gradiška</v>
      </c>
      <c r="D36" s="327">
        <f>IF(ISNUMBER('Pojedinačni plasman'!E32)=FALSE,"",'Pojedinačni plasman'!E32)</f>
        <v>6</v>
      </c>
      <c r="E36" s="349">
        <f>IF(ISNUMBER('Pojedinačni plasman'!F32)=FALSE,"",'Pojedinačni plasman'!F32)</f>
        <v>1953</v>
      </c>
      <c r="F36" s="320">
        <f>IF(ISNUMBER('Pojedinačni plasman'!C32)=FALSE,"",'Pojedinačni plasman'!C32)</f>
        <v>8</v>
      </c>
      <c r="G36" s="320" t="str">
        <f>IF(ISNONTEXT('Pojedinačni plasman'!D32)=TRUE,"",'Pojedinačni plasman'!D32)</f>
        <v>B</v>
      </c>
      <c r="H36" s="282">
        <f>IF(ISNUMBER('Pojedinačni plasman'!G32)=FALSE,"",'Pojedinačni plasman'!G32)</f>
        <v>27</v>
      </c>
      <c r="I36" s="61"/>
    </row>
    <row r="37" spans="1:9" ht="12.75">
      <c r="A37" s="280">
        <f>IF(ISNUMBER(F37)=FALSE,"",28)</f>
        <v>28</v>
      </c>
      <c r="B37" s="297" t="str">
        <f>IF(ISNONTEXT('Pojedinačni plasman'!A33)=TRUE,"",'Pojedinačni plasman'!A33)</f>
        <v>Dalibor Agbaba</v>
      </c>
      <c r="C37" s="298" t="str">
        <f>IF(ISNONTEXT('Pojedinačni plasman'!B33)=TRUE,"",'Pojedinačni plasman'!B33)</f>
        <v>TPK Zagreb</v>
      </c>
      <c r="D37" s="327">
        <f>IF(ISNUMBER('Pojedinačni plasman'!E33)=FALSE,"",'Pojedinačni plasman'!E33)</f>
        <v>6</v>
      </c>
      <c r="E37" s="349">
        <f>IF(ISNUMBER('Pojedinačni plasman'!F33)=FALSE,"",'Pojedinačni plasman'!F33)</f>
        <v>1765</v>
      </c>
      <c r="F37" s="320">
        <f>IF(ISNUMBER('Pojedinačni plasman'!C33)=FALSE,"",'Pojedinačni plasman'!C33)</f>
        <v>10</v>
      </c>
      <c r="G37" s="320" t="str">
        <f>IF(ISNONTEXT('Pojedinačni plasman'!D33)=TRUE,"",'Pojedinačni plasman'!D33)</f>
        <v>A</v>
      </c>
      <c r="H37" s="282">
        <f>IF(ISNUMBER('Pojedinačni plasman'!G33)=FALSE,"",'Pojedinačni plasman'!G33)</f>
        <v>28</v>
      </c>
      <c r="I37" s="61"/>
    </row>
    <row r="38" spans="1:9" ht="12.75">
      <c r="A38" s="280">
        <f>IF(ISNUMBER(F38)=FALSE,"",29)</f>
        <v>29</v>
      </c>
      <c r="B38" s="297" t="str">
        <f>IF(ISNONTEXT('Pojedinačni plasman'!A34)=TRUE,"",'Pojedinačni plasman'!A34)</f>
        <v>Stiven Palijan</v>
      </c>
      <c r="C38" s="298" t="str">
        <f>IF(ISNONTEXT('Pojedinačni plasman'!B34)=TRUE,"",'Pojedinačni plasman'!B34)</f>
        <v>Klen N.Gradiška</v>
      </c>
      <c r="D38" s="327">
        <f>IF(ISNUMBER('Pojedinačni plasman'!E34)=FALSE,"",'Pojedinačni plasman'!E34)</f>
        <v>6</v>
      </c>
      <c r="E38" s="349">
        <f>IF(ISNUMBER('Pojedinačni plasman'!F34)=FALSE,"",'Pojedinačni plasman'!F34)</f>
        <v>1497</v>
      </c>
      <c r="F38" s="320">
        <f>IF(ISNUMBER('Pojedinačni plasman'!C34)=FALSE,"",'Pojedinačni plasman'!C34)</f>
        <v>8</v>
      </c>
      <c r="G38" s="320" t="str">
        <f>IF(ISNONTEXT('Pojedinačni plasman'!D34)=TRUE,"",'Pojedinačni plasman'!D34)</f>
        <v>E</v>
      </c>
      <c r="H38" s="282">
        <f>IF(ISNUMBER('Pojedinačni plasman'!G34)=FALSE,"",'Pojedinačni plasman'!G34)</f>
        <v>29</v>
      </c>
      <c r="I38" s="61"/>
    </row>
    <row r="39" spans="1:9" ht="12.75">
      <c r="A39" s="280">
        <f>IF(ISNUMBER(F39)=FALSE,"",30)</f>
        <v>30</v>
      </c>
      <c r="B39" s="297" t="str">
        <f>IF(ISNONTEXT('Pojedinačni plasman'!A35)=TRUE,"",'Pojedinačni plasman'!A35)</f>
        <v>Dražen Červeni</v>
      </c>
      <c r="C39" s="298" t="str">
        <f>IF(ISNONTEXT('Pojedinačni plasman'!B35)=TRUE,"",'Pojedinačni plasman'!B35)</f>
        <v>Ilova Garešnica</v>
      </c>
      <c r="D39" s="327">
        <f>IF(ISNUMBER('Pojedinačni plasman'!E35)=FALSE,"",'Pojedinačni plasman'!E35)</f>
        <v>6.5</v>
      </c>
      <c r="E39" s="349">
        <f>IF(ISNUMBER('Pojedinačni plasman'!F35)=FALSE,"",'Pojedinačni plasman'!F35)</f>
        <v>1765</v>
      </c>
      <c r="F39" s="320">
        <f>IF(ISNUMBER('Pojedinačni plasman'!C35)=FALSE,"",'Pojedinačni plasman'!C35)</f>
        <v>11</v>
      </c>
      <c r="G39" s="320" t="str">
        <f>IF(ISNONTEXT('Pojedinačni plasman'!D35)=TRUE,"",'Pojedinačni plasman'!D35)</f>
        <v>C</v>
      </c>
      <c r="H39" s="282">
        <f>IF(ISNUMBER('Pojedinačni plasman'!G35)=FALSE,"",'Pojedinačni plasman'!G35)</f>
        <v>30</v>
      </c>
      <c r="I39" s="61"/>
    </row>
    <row r="40" spans="1:9" ht="12.75">
      <c r="A40" s="280">
        <f>IF(ISNUMBER(F40)=FALSE,"",31)</f>
        <v>31</v>
      </c>
      <c r="B40" s="297" t="str">
        <f>IF(ISNONTEXT('Pojedinačni plasman'!A36)=TRUE,"",'Pojedinačni plasman'!A36)</f>
        <v>Zlatko Poparić</v>
      </c>
      <c r="C40" s="298" t="str">
        <f>IF(ISNONTEXT('Pojedinačni plasman'!B36)=TRUE,"",'Pojedinačni plasman'!B36)</f>
        <v>TPK Zagreb</v>
      </c>
      <c r="D40" s="327">
        <f>IF(ISNUMBER('Pojedinačni plasman'!E36)=FALSE,"",'Pojedinačni plasman'!E36)</f>
        <v>6.5</v>
      </c>
      <c r="E40" s="349">
        <f>IF(ISNUMBER('Pojedinačni plasman'!F36)=FALSE,"",'Pojedinačni plasman'!F36)</f>
        <v>1765</v>
      </c>
      <c r="F40" s="320">
        <f>IF(ISNUMBER('Pojedinačni plasman'!C36)=FALSE,"",'Pojedinačni plasman'!C36)</f>
        <v>10</v>
      </c>
      <c r="G40" s="320" t="str">
        <f>IF(ISNONTEXT('Pojedinačni plasman'!D36)=TRUE,"",'Pojedinačni plasman'!D36)</f>
        <v>C</v>
      </c>
      <c r="H40" s="282">
        <f>IF(ISNUMBER('Pojedinačni plasman'!G36)=FALSE,"",'Pojedinačni plasman'!G36)</f>
        <v>30</v>
      </c>
      <c r="I40" s="61"/>
    </row>
    <row r="41" spans="1:9" ht="12.75">
      <c r="A41" s="280">
        <f>IF(ISNUMBER(F41)=FALSE,"",32)</f>
        <v>32</v>
      </c>
      <c r="B41" s="297" t="str">
        <f>IF(ISNONTEXT('Pojedinačni plasman'!A37)=TRUE,"",'Pojedinačni plasman'!A37)</f>
        <v>Željko Raženj</v>
      </c>
      <c r="C41" s="298" t="str">
        <f>IF(ISNONTEXT('Pojedinačni plasman'!B37)=TRUE,"",'Pojedinačni plasman'!B37)</f>
        <v>Trnje-ŠR Zagreb</v>
      </c>
      <c r="D41" s="327">
        <f>IF(ISNUMBER('Pojedinačni plasman'!E37)=FALSE,"",'Pojedinačni plasman'!E37)</f>
        <v>7</v>
      </c>
      <c r="E41" s="349">
        <f>IF(ISNUMBER('Pojedinačni plasman'!F37)=FALSE,"",'Pojedinačni plasman'!F37)</f>
        <v>1895</v>
      </c>
      <c r="F41" s="320">
        <f>IF(ISNUMBER('Pojedinačni plasman'!C37)=FALSE,"",'Pojedinačni plasman'!C37)</f>
        <v>7</v>
      </c>
      <c r="G41" s="320" t="str">
        <f>IF(ISNONTEXT('Pojedinačni plasman'!D37)=TRUE,"",'Pojedinačni plasman'!D37)</f>
        <v>B</v>
      </c>
      <c r="H41" s="282">
        <f>IF(ISNUMBER('Pojedinačni plasman'!G37)=FALSE,"",'Pojedinačni plasman'!G37)</f>
        <v>32</v>
      </c>
      <c r="I41" s="61"/>
    </row>
    <row r="42" spans="1:9" ht="12.75">
      <c r="A42" s="280">
        <f>IF(ISNUMBER(F42)=FALSE,"",33)</f>
        <v>33</v>
      </c>
      <c r="B42" s="297" t="str">
        <f>IF(ISNONTEXT('Pojedinačni plasman'!A38)=TRUE,"",'Pojedinačni plasman'!A38)</f>
        <v>Mladen Meseš</v>
      </c>
      <c r="C42" s="298" t="str">
        <f>IF(ISNONTEXT('Pojedinačni plasman'!B38)=TRUE,"",'Pojedinačni plasman'!B38)</f>
        <v>Jez Jasenovac</v>
      </c>
      <c r="D42" s="327">
        <f>IF(ISNUMBER('Pojedinačni plasman'!E38)=FALSE,"",'Pojedinačni plasman'!E38)</f>
        <v>7</v>
      </c>
      <c r="E42" s="349">
        <f>IF(ISNUMBER('Pojedinačni plasman'!F38)=FALSE,"",'Pojedinačni plasman'!F38)</f>
        <v>1680</v>
      </c>
      <c r="F42" s="320">
        <f>IF(ISNUMBER('Pojedinačni plasman'!C38)=FALSE,"",'Pojedinačni plasman'!C38)</f>
        <v>12</v>
      </c>
      <c r="G42" s="320" t="str">
        <f>IF(ISNONTEXT('Pojedinačni plasman'!D38)=TRUE,"",'Pojedinačni plasman'!D38)</f>
        <v>A</v>
      </c>
      <c r="H42" s="282">
        <f>IF(ISNUMBER('Pojedinačni plasman'!G38)=FALSE,"",'Pojedinačni plasman'!G38)</f>
        <v>33</v>
      </c>
      <c r="I42" s="61"/>
    </row>
    <row r="43" spans="1:9" ht="12.75">
      <c r="A43" s="280">
        <f>IF(ISNUMBER(F43)=FALSE,"",34)</f>
        <v>34</v>
      </c>
      <c r="B43" s="297" t="str">
        <f>IF(ISNONTEXT('Pojedinačni plasman'!A39)=TRUE,"",'Pojedinačni plasman'!A39)</f>
        <v>Tihomir Vukić</v>
      </c>
      <c r="C43" s="298" t="str">
        <f>IF(ISNONTEXT('Pojedinačni plasman'!B39)=TRUE,"",'Pojedinačni plasman'!B39)</f>
        <v>Trnje-ŠR Zagreb</v>
      </c>
      <c r="D43" s="327">
        <f>IF(ISNUMBER('Pojedinačni plasman'!E39)=FALSE,"",'Pojedinačni plasman'!E39)</f>
        <v>7</v>
      </c>
      <c r="E43" s="349">
        <f>IF(ISNUMBER('Pojedinačni plasman'!F39)=FALSE,"",'Pojedinačni plasman'!F39)</f>
        <v>1498</v>
      </c>
      <c r="F43" s="320">
        <f>IF(ISNUMBER('Pojedinačni plasman'!C39)=FALSE,"",'Pojedinačni plasman'!C39)</f>
        <v>7</v>
      </c>
      <c r="G43" s="320" t="str">
        <f>IF(ISNONTEXT('Pojedinačni plasman'!D39)=TRUE,"",'Pojedinačni plasman'!D39)</f>
        <v>D</v>
      </c>
      <c r="H43" s="282">
        <f>IF(ISNUMBER('Pojedinačni plasman'!G39)=FALSE,"",'Pojedinačni plasman'!G39)</f>
        <v>34</v>
      </c>
      <c r="I43" s="61"/>
    </row>
    <row r="44" spans="1:9" ht="12.75">
      <c r="A44" s="280">
        <f>IF(ISNUMBER(F44)=FALSE,"",35)</f>
        <v>35</v>
      </c>
      <c r="B44" s="297" t="str">
        <f>IF(ISNONTEXT('Pojedinačni plasman'!A40)=TRUE,"",'Pojedinačni plasman'!A40)</f>
        <v>Goran Abramović</v>
      </c>
      <c r="C44" s="298" t="str">
        <f>IF(ISNONTEXT('Pojedinačni plasman'!B40)=TRUE,"",'Pojedinačni plasman'!B40)</f>
        <v>Trnje-ŠR Zagreb</v>
      </c>
      <c r="D44" s="327">
        <f>IF(ISNUMBER('Pojedinačni plasman'!E40)=FALSE,"",'Pojedinačni plasman'!E40)</f>
        <v>7</v>
      </c>
      <c r="E44" s="349">
        <f>IF(ISNUMBER('Pojedinačni plasman'!F40)=FALSE,"",'Pojedinačni plasman'!F40)</f>
        <v>1354</v>
      </c>
      <c r="F44" s="320">
        <f>IF(ISNUMBER('Pojedinačni plasman'!C40)=FALSE,"",'Pojedinačni plasman'!C40)</f>
        <v>7</v>
      </c>
      <c r="G44" s="320" t="str">
        <f>IF(ISNONTEXT('Pojedinačni plasman'!D40)=TRUE,"",'Pojedinačni plasman'!D40)</f>
        <v>E</v>
      </c>
      <c r="H44" s="282">
        <f>IF(ISNUMBER('Pojedinačni plasman'!G40)=FALSE,"",'Pojedinačni plasman'!G40)</f>
        <v>35</v>
      </c>
      <c r="I44" s="61"/>
    </row>
    <row r="45" spans="1:9" ht="12.75">
      <c r="A45" s="280">
        <f>IF(ISNUMBER(F45)=FALSE,"",36)</f>
        <v>36</v>
      </c>
      <c r="B45" s="297" t="str">
        <f>IF(ISNONTEXT('Pojedinačni plasman'!A41)=TRUE,"",'Pojedinačni plasman'!A41)</f>
        <v>Domagoj Ceković</v>
      </c>
      <c r="C45" s="298" t="str">
        <f>IF(ISNONTEXT('Pojedinačni plasman'!B41)=TRUE,"",'Pojedinačni plasman'!B41)</f>
        <v>Bjelka GME Sunja</v>
      </c>
      <c r="D45" s="327">
        <f>IF(ISNUMBER('Pojedinačni plasman'!E41)=FALSE,"",'Pojedinačni plasman'!E41)</f>
        <v>8</v>
      </c>
      <c r="E45" s="349">
        <f>IF(ISNUMBER('Pojedinačni plasman'!F41)=FALSE,"",'Pojedinačni plasman'!F41)</f>
        <v>1470</v>
      </c>
      <c r="F45" s="320">
        <f>IF(ISNUMBER('Pojedinačni plasman'!C41)=FALSE,"",'Pojedinačni plasman'!C41)</f>
        <v>9</v>
      </c>
      <c r="G45" s="320" t="str">
        <f>IF(ISNONTEXT('Pojedinačni plasman'!D41)=TRUE,"",'Pojedinačni plasman'!D41)</f>
        <v>A</v>
      </c>
      <c r="H45" s="282">
        <f>IF(ISNUMBER('Pojedinačni plasman'!G41)=FALSE,"",'Pojedinačni plasman'!G41)</f>
        <v>36</v>
      </c>
      <c r="I45" s="61"/>
    </row>
    <row r="46" spans="1:9" ht="12.75">
      <c r="A46" s="280">
        <f>IF(ISNUMBER(F46)=FALSE,"",37)</f>
        <v>37</v>
      </c>
      <c r="B46" s="297" t="str">
        <f>IF(ISNONTEXT('Pojedinačni plasman'!A42)=TRUE,"",'Pojedinačni plasman'!A42)</f>
        <v>Mensur Rošić</v>
      </c>
      <c r="C46" s="298" t="str">
        <f>IF(ISNONTEXT('Pojedinačni plasman'!B42)=TRUE,"",'Pojedinačni plasman'!B42)</f>
        <v>Azzuro Varaždin</v>
      </c>
      <c r="D46" s="327">
        <f>IF(ISNUMBER('Pojedinačni plasman'!E42)=FALSE,"",'Pojedinačni plasman'!E42)</f>
        <v>8</v>
      </c>
      <c r="E46" s="349">
        <f>IF(ISNUMBER('Pojedinačni plasman'!F42)=FALSE,"",'Pojedinačni plasman'!F42)</f>
        <v>1354</v>
      </c>
      <c r="F46" s="320">
        <f>IF(ISNUMBER('Pojedinačni plasman'!C42)=FALSE,"",'Pojedinačni plasman'!C42)</f>
        <v>6</v>
      </c>
      <c r="G46" s="320" t="str">
        <f>IF(ISNONTEXT('Pojedinačni plasman'!D42)=TRUE,"",'Pojedinačni plasman'!D42)</f>
        <v>D</v>
      </c>
      <c r="H46" s="282">
        <f>IF(ISNUMBER('Pojedinačni plasman'!G42)=FALSE,"",'Pojedinačni plasman'!G42)</f>
        <v>37</v>
      </c>
      <c r="I46" s="61"/>
    </row>
    <row r="47" spans="1:9" ht="12.75">
      <c r="A47" s="280">
        <f>IF(ISNUMBER(F47)=FALSE,"",38)</f>
        <v>38</v>
      </c>
      <c r="B47" s="297" t="str">
        <f>IF(ISNONTEXT('Pojedinačni plasman'!A43)=TRUE,"",'Pojedinačni plasman'!A43)</f>
        <v>Danijel Picer</v>
      </c>
      <c r="C47" s="298" t="str">
        <f>IF(ISNONTEXT('Pojedinačni plasman'!B43)=TRUE,"",'Pojedinačni plasman'!B43)</f>
        <v>Štuka Torčec</v>
      </c>
      <c r="D47" s="327">
        <f>IF(ISNUMBER('Pojedinačni plasman'!E43)=FALSE,"",'Pojedinačni plasman'!E43)</f>
        <v>8</v>
      </c>
      <c r="E47" s="349">
        <f>IF(ISNUMBER('Pojedinačni plasman'!F43)=FALSE,"",'Pojedinačni plasman'!F43)</f>
        <v>1354</v>
      </c>
      <c r="F47" s="320">
        <f>IF(ISNUMBER('Pojedinačni plasman'!C43)=FALSE,"",'Pojedinačni plasman'!C43)</f>
        <v>2</v>
      </c>
      <c r="G47" s="320" t="str">
        <f>IF(ISNONTEXT('Pojedinačni plasman'!D43)=TRUE,"",'Pojedinačni plasman'!D43)</f>
        <v>C</v>
      </c>
      <c r="H47" s="282">
        <f>IF(ISNUMBER('Pojedinačni plasman'!G43)=FALSE,"",'Pojedinačni plasman'!G43)</f>
        <v>37</v>
      </c>
      <c r="I47" s="61"/>
    </row>
    <row r="48" spans="1:9" ht="12.75">
      <c r="A48" s="280">
        <f>IF(ISNUMBER(F48)=FALSE,"",39)</f>
        <v>39</v>
      </c>
      <c r="B48" s="297" t="str">
        <f>IF(ISNONTEXT('Pojedinačni plasman'!A44)=TRUE,"",'Pojedinačni plasman'!A44)</f>
        <v>Tomislav Duković</v>
      </c>
      <c r="C48" s="298" t="str">
        <f>IF(ISNONTEXT('Pojedinačni plasman'!B44)=TRUE,"",'Pojedinačni plasman'!B44)</f>
        <v>Ilova Garešnica</v>
      </c>
      <c r="D48" s="327">
        <f>IF(ISNUMBER('Pojedinačni plasman'!E44)=FALSE,"",'Pojedinačni plasman'!E44)</f>
        <v>8.5</v>
      </c>
      <c r="E48" s="349">
        <f>IF(ISNUMBER('Pojedinačni plasman'!F44)=FALSE,"",'Pojedinačni plasman'!F44)</f>
        <v>1765</v>
      </c>
      <c r="F48" s="320">
        <f>IF(ISNUMBER('Pojedinačni plasman'!C44)=FALSE,"",'Pojedinačni plasman'!C44)</f>
        <v>11</v>
      </c>
      <c r="G48" s="320" t="str">
        <f>IF(ISNONTEXT('Pojedinačni plasman'!D44)=TRUE,"",'Pojedinačni plasman'!D44)</f>
        <v>B</v>
      </c>
      <c r="H48" s="282">
        <f>IF(ISNUMBER('Pojedinačni plasman'!G44)=FALSE,"",'Pojedinačni plasman'!G44)</f>
        <v>39</v>
      </c>
      <c r="I48" s="61"/>
    </row>
    <row r="49" spans="1:9" ht="12.75">
      <c r="A49" s="280">
        <f>IF(ISNUMBER(F49)=FALSE,"",40)</f>
        <v>40</v>
      </c>
      <c r="B49" s="297" t="str">
        <f>IF(ISNONTEXT('Pojedinačni plasman'!A45)=TRUE,"",'Pojedinačni plasman'!A45)</f>
        <v>Anđelo Orač</v>
      </c>
      <c r="C49" s="298" t="str">
        <f>IF(ISNONTEXT('Pojedinačni plasman'!B45)=TRUE,"",'Pojedinačni plasman'!B45)</f>
        <v>TPK Zagreb</v>
      </c>
      <c r="D49" s="327">
        <f>IF(ISNUMBER('Pojedinačni plasman'!E45)=FALSE,"",'Pojedinačni plasman'!E45)</f>
        <v>8.5</v>
      </c>
      <c r="E49" s="349">
        <f>IF(ISNUMBER('Pojedinačni plasman'!F45)=FALSE,"",'Pojedinačni plasman'!F45)</f>
        <v>1765</v>
      </c>
      <c r="F49" s="320">
        <f>IF(ISNUMBER('Pojedinačni plasman'!C45)=FALSE,"",'Pojedinačni plasman'!C45)</f>
        <v>10</v>
      </c>
      <c r="G49" s="320" t="str">
        <f>IF(ISNONTEXT('Pojedinačni plasman'!D45)=TRUE,"",'Pojedinačni plasman'!D45)</f>
        <v>B</v>
      </c>
      <c r="H49" s="282">
        <f>IF(ISNUMBER('Pojedinačni plasman'!G45)=FALSE,"",'Pojedinačni plasman'!G45)</f>
        <v>39</v>
      </c>
      <c r="I49" s="61"/>
    </row>
    <row r="50" spans="1:9" ht="12.75">
      <c r="A50" s="280">
        <f>IF(ISNUMBER(F50)=FALSE,"",41)</f>
        <v>41</v>
      </c>
      <c r="B50" s="297" t="str">
        <f>IF(ISNONTEXT('Pojedinačni plasman'!A46)=TRUE,"",'Pojedinačni plasman'!A46)</f>
        <v>Davor Florijanić</v>
      </c>
      <c r="C50" s="298" t="str">
        <f>IF(ISNONTEXT('Pojedinačni plasman'!B46)=TRUE,"",'Pojedinačni plasman'!B46)</f>
        <v>Azzuro Varaždin</v>
      </c>
      <c r="D50" s="327">
        <f>IF(ISNUMBER('Pojedinačni plasman'!E46)=FALSE,"",'Pojedinačni plasman'!E46)</f>
        <v>8.5</v>
      </c>
      <c r="E50" s="349">
        <f>IF(ISNUMBER('Pojedinačni plasman'!F46)=FALSE,"",'Pojedinačni plasman'!F46)</f>
        <v>1325</v>
      </c>
      <c r="F50" s="320">
        <f>IF(ISNUMBER('Pojedinačni plasman'!C46)=FALSE,"",'Pojedinačni plasman'!C46)</f>
        <v>6</v>
      </c>
      <c r="G50" s="320" t="str">
        <f>IF(ISNONTEXT('Pojedinačni plasman'!D46)=TRUE,"",'Pojedinačni plasman'!D46)</f>
        <v>E</v>
      </c>
      <c r="H50" s="282">
        <f>IF(ISNUMBER('Pojedinačni plasman'!G46)=FALSE,"",'Pojedinačni plasman'!G46)</f>
        <v>41</v>
      </c>
      <c r="I50" s="61"/>
    </row>
    <row r="51" spans="1:9" ht="12.75">
      <c r="A51" s="280">
        <f>IF(ISNUMBER(F51)=FALSE,"",42)</f>
        <v>42</v>
      </c>
      <c r="B51" s="297" t="str">
        <f>IF(ISNONTEXT('Pojedinačni plasman'!A47)=TRUE,"",'Pojedinačni plasman'!A47)</f>
        <v>Kristijan Kosmačin</v>
      </c>
      <c r="C51" s="298" t="str">
        <f>IF(ISNONTEXT('Pojedinačni plasman'!B47)=TRUE,"",'Pojedinačni plasman'!B47)</f>
        <v>Varaždin Varaždin</v>
      </c>
      <c r="D51" s="327">
        <f>IF(ISNUMBER('Pojedinačni plasman'!E47)=FALSE,"",'Pojedinačni plasman'!E47)</f>
        <v>8.5</v>
      </c>
      <c r="E51" s="349">
        <f>IF(ISNUMBER('Pojedinačni plasman'!F47)=FALSE,"",'Pojedinačni plasman'!F47)</f>
        <v>1325</v>
      </c>
      <c r="F51" s="320">
        <f>IF(ISNUMBER('Pojedinačni plasman'!C47)=FALSE,"",'Pojedinačni plasman'!C47)</f>
        <v>5</v>
      </c>
      <c r="G51" s="320" t="str">
        <f>IF(ISNONTEXT('Pojedinačni plasman'!D47)=TRUE,"",'Pojedinačni plasman'!D47)</f>
        <v>E</v>
      </c>
      <c r="H51" s="282">
        <f>IF(ISNUMBER('Pojedinačni plasman'!G47)=FALSE,"",'Pojedinačni plasman'!G47)</f>
        <v>41</v>
      </c>
      <c r="I51" s="61"/>
    </row>
    <row r="52" spans="1:9" ht="12.75">
      <c r="A52" s="280">
        <f>IF(ISNUMBER(F52)=FALSE,"",43)</f>
        <v>43</v>
      </c>
      <c r="B52" s="297" t="str">
        <f>IF(ISNONTEXT('Pojedinačni plasman'!A48)=TRUE,"",'Pojedinačni plasman'!A48)</f>
        <v>Petar Petrović</v>
      </c>
      <c r="C52" s="298" t="str">
        <f>IF(ISNONTEXT('Pojedinačni plasman'!B48)=TRUE,"",'Pojedinačni plasman'!B48)</f>
        <v>Klen N.Gradiška</v>
      </c>
      <c r="D52" s="327">
        <f>IF(ISNUMBER('Pojedinačni plasman'!E48)=FALSE,"",'Pojedinačni plasman'!E48)</f>
        <v>9</v>
      </c>
      <c r="E52" s="349">
        <f>IF(ISNUMBER('Pojedinačni plasman'!F48)=FALSE,"",'Pojedinačni plasman'!F48)</f>
        <v>1325</v>
      </c>
      <c r="F52" s="320">
        <f>IF(ISNUMBER('Pojedinačni plasman'!C48)=FALSE,"",'Pojedinačni plasman'!C48)</f>
        <v>8</v>
      </c>
      <c r="G52" s="320" t="str">
        <f>IF(ISNONTEXT('Pojedinačni plasman'!D48)=TRUE,"",'Pojedinačni plasman'!D48)</f>
        <v>C</v>
      </c>
      <c r="H52" s="282">
        <f>IF(ISNUMBER('Pojedinačni plasman'!G48)=FALSE,"",'Pojedinačni plasman'!G48)</f>
        <v>43</v>
      </c>
      <c r="I52" s="61"/>
    </row>
    <row r="53" spans="1:9" ht="12.75">
      <c r="A53" s="280">
        <f>IF(ISNUMBER(F53)=FALSE,"",44)</f>
        <v>44</v>
      </c>
      <c r="B53" s="297" t="str">
        <f>IF(ISNONTEXT('Pojedinačni plasman'!A49)=TRUE,"",'Pojedinačni plasman'!A49)</f>
        <v>Marijan Jurić</v>
      </c>
      <c r="C53" s="298" t="str">
        <f>IF(ISNONTEXT('Pojedinačni plasman'!B49)=TRUE,"",'Pojedinačni plasman'!B49)</f>
        <v>Bjelovar Bjelovar</v>
      </c>
      <c r="D53" s="327">
        <f>IF(ISNUMBER('Pojedinačni plasman'!E49)=FALSE,"",'Pojedinačni plasman'!E49)</f>
        <v>9</v>
      </c>
      <c r="E53" s="349">
        <f>IF(ISNUMBER('Pojedinačni plasman'!F49)=FALSE,"",'Pojedinačni plasman'!F49)</f>
        <v>1325</v>
      </c>
      <c r="F53" s="320">
        <f>IF(ISNUMBER('Pojedinačni plasman'!C49)=FALSE,"",'Pojedinačni plasman'!C49)</f>
        <v>4</v>
      </c>
      <c r="G53" s="320" t="str">
        <f>IF(ISNONTEXT('Pojedinačni plasman'!D49)=TRUE,"",'Pojedinačni plasman'!D49)</f>
        <v>D</v>
      </c>
      <c r="H53" s="282">
        <f>IF(ISNUMBER('Pojedinačni plasman'!G49)=FALSE,"",'Pojedinačni plasman'!G49)</f>
        <v>43</v>
      </c>
      <c r="I53" s="61"/>
    </row>
    <row r="54" spans="1:9" ht="12.75">
      <c r="A54" s="280">
        <f>IF(ISNUMBER(F54)=FALSE,"",45)</f>
        <v>45</v>
      </c>
      <c r="B54" s="297" t="str">
        <f>IF(ISNONTEXT('Pojedinačni plasman'!A50)=TRUE,"",'Pojedinačni plasman'!A50)</f>
        <v>Damir Dević</v>
      </c>
      <c r="C54" s="298" t="str">
        <f>IF(ISNONTEXT('Pojedinačni plasman'!B50)=TRUE,"",'Pojedinačni plasman'!B50)</f>
        <v>Klen N.Gradiška</v>
      </c>
      <c r="D54" s="327">
        <f>IF(ISNUMBER('Pojedinačni plasman'!E50)=FALSE,"",'Pojedinačni plasman'!E50)</f>
        <v>9</v>
      </c>
      <c r="E54" s="349">
        <f>IF(ISNUMBER('Pojedinačni plasman'!F50)=FALSE,"",'Pojedinačni plasman'!F50)</f>
        <v>1125</v>
      </c>
      <c r="F54" s="320">
        <f>IF(ISNUMBER('Pojedinačni plasman'!C50)=FALSE,"",'Pojedinačni plasman'!C50)</f>
        <v>8</v>
      </c>
      <c r="G54" s="320" t="str">
        <f>IF(ISNONTEXT('Pojedinačni plasman'!D50)=TRUE,"",'Pojedinačni plasman'!D50)</f>
        <v>A</v>
      </c>
      <c r="H54" s="282">
        <f>IF(ISNUMBER('Pojedinačni plasman'!G50)=FALSE,"",'Pojedinačni plasman'!G50)</f>
        <v>45</v>
      </c>
      <c r="I54" s="61"/>
    </row>
    <row r="55" spans="1:9" ht="12.75">
      <c r="A55" s="280">
        <f>IF(ISNUMBER(F55)=FALSE,"",46)</f>
        <v>46</v>
      </c>
      <c r="B55" s="297" t="str">
        <f>IF(ISNONTEXT('Pojedinačni plasman'!A51)=TRUE,"",'Pojedinačni plasman'!A51)</f>
        <v>Zlatko Novačić</v>
      </c>
      <c r="C55" s="298" t="str">
        <f>IF(ISNONTEXT('Pojedinačni plasman'!B51)=TRUE,"",'Pojedinačni plasman'!B51)</f>
        <v>Rak Rakitje</v>
      </c>
      <c r="D55" s="327">
        <f>IF(ISNUMBER('Pojedinačni plasman'!E51)=FALSE,"",'Pojedinačni plasman'!E51)</f>
        <v>10</v>
      </c>
      <c r="E55" s="349">
        <f>IF(ISNUMBER('Pojedinačni plasman'!F51)=FALSE,"",'Pojedinačni plasman'!F51)</f>
        <v>1256</v>
      </c>
      <c r="F55" s="320">
        <f>IF(ISNUMBER('Pojedinačni plasman'!C51)=FALSE,"",'Pojedinačni plasman'!C51)</f>
        <v>3</v>
      </c>
      <c r="G55" s="320" t="str">
        <f>IF(ISNONTEXT('Pojedinačni plasman'!D51)=TRUE,"",'Pojedinačni plasman'!D51)</f>
        <v>D</v>
      </c>
      <c r="H55" s="282">
        <f>IF(ISNUMBER('Pojedinačni plasman'!G51)=FALSE,"",'Pojedinačni plasman'!G51)</f>
        <v>46</v>
      </c>
      <c r="I55" s="61"/>
    </row>
    <row r="56" spans="1:9" ht="12.75">
      <c r="A56" s="280">
        <f>IF(ISNUMBER(F56)=FALSE,"",47)</f>
        <v>47</v>
      </c>
      <c r="B56" s="297" t="str">
        <f>IF(ISNONTEXT('Pojedinačni plasman'!A52)=TRUE,"",'Pojedinačni plasman'!A52)</f>
        <v>Marijan Lisjak</v>
      </c>
      <c r="C56" s="298" t="str">
        <f>IF(ISNONTEXT('Pojedinačni plasman'!B52)=TRUE,"",'Pojedinačni plasman'!B52)</f>
        <v>Varaždin Varaždin</v>
      </c>
      <c r="D56" s="327">
        <f>IF(ISNUMBER('Pojedinačni plasman'!E52)=FALSE,"",'Pojedinačni plasman'!E52)</f>
        <v>10</v>
      </c>
      <c r="E56" s="349">
        <f>IF(ISNUMBER('Pojedinačni plasman'!F52)=FALSE,"",'Pojedinačni plasman'!F52)</f>
        <v>930</v>
      </c>
      <c r="F56" s="320">
        <f>IF(ISNUMBER('Pojedinačni plasman'!C52)=FALSE,"",'Pojedinačni plasman'!C52)</f>
        <v>5</v>
      </c>
      <c r="G56" s="320" t="str">
        <f>IF(ISNONTEXT('Pojedinačni plasman'!D52)=TRUE,"",'Pojedinačni plasman'!D52)</f>
        <v>C</v>
      </c>
      <c r="H56" s="282">
        <f>IF(ISNUMBER('Pojedinačni plasman'!G52)=FALSE,"",'Pojedinačni plasman'!G52)</f>
        <v>47</v>
      </c>
      <c r="I56" s="61"/>
    </row>
    <row r="57" spans="1:9" ht="12.75">
      <c r="A57" s="280">
        <f>IF(ISNUMBER(F57)=FALSE,"",48)</f>
        <v>48</v>
      </c>
      <c r="B57" s="297" t="str">
        <f>IF(ISNONTEXT('Pojedinačni plasman'!A53)=TRUE,"",'Pojedinačni plasman'!A53)</f>
        <v>Dražen Štajduhar</v>
      </c>
      <c r="C57" s="298" t="str">
        <f>IF(ISNONTEXT('Pojedinačni plasman'!B53)=TRUE,"",'Pojedinačni plasman'!B53)</f>
        <v>Bjelovar Bjelovar</v>
      </c>
      <c r="D57" s="327">
        <f>IF(ISNUMBER('Pojedinačni plasman'!E53)=FALSE,"",'Pojedinačni plasman'!E53)</f>
        <v>10.5</v>
      </c>
      <c r="E57" s="349">
        <f>IF(ISNUMBER('Pojedinačni plasman'!F53)=FALSE,"",'Pojedinačni plasman'!F53)</f>
        <v>1256</v>
      </c>
      <c r="F57" s="320">
        <f>IF(ISNUMBER('Pojedinačni plasman'!C53)=FALSE,"",'Pojedinačni plasman'!C53)</f>
        <v>4</v>
      </c>
      <c r="G57" s="320" t="str">
        <f>IF(ISNONTEXT('Pojedinačni plasman'!D53)=TRUE,"",'Pojedinačni plasman'!D53)</f>
        <v>E</v>
      </c>
      <c r="H57" s="282">
        <f>IF(ISNUMBER('Pojedinačni plasman'!G53)=FALSE,"",'Pojedinačni plasman'!G53)</f>
        <v>48</v>
      </c>
      <c r="I57" s="61"/>
    </row>
    <row r="58" spans="1:9" ht="12.75">
      <c r="A58" s="280">
        <f>IF(ISNUMBER(F58)=FALSE,"",49)</f>
        <v>49</v>
      </c>
      <c r="B58" s="297" t="str">
        <f>IF(ISNONTEXT('Pojedinačni plasman'!A54)=TRUE,"",'Pojedinačni plasman'!A54)</f>
        <v>Zlatko Auker</v>
      </c>
      <c r="C58" s="298" t="str">
        <f>IF(ISNONTEXT('Pojedinačni plasman'!B54)=TRUE,"",'Pojedinačni plasman'!B54)</f>
        <v>Rak Rakitje</v>
      </c>
      <c r="D58" s="327">
        <f>IF(ISNUMBER('Pojedinačni plasman'!E54)=FALSE,"",'Pojedinačni plasman'!E54)</f>
        <v>10.5</v>
      </c>
      <c r="E58" s="349">
        <f>IF(ISNUMBER('Pojedinačni plasman'!F54)=FALSE,"",'Pojedinačni plasman'!F54)</f>
        <v>1256</v>
      </c>
      <c r="F58" s="320">
        <f>IF(ISNUMBER('Pojedinačni plasman'!C54)=FALSE,"",'Pojedinačni plasman'!C54)</f>
        <v>3</v>
      </c>
      <c r="G58" s="320" t="str">
        <f>IF(ISNONTEXT('Pojedinačni plasman'!D54)=TRUE,"",'Pojedinačni plasman'!D54)</f>
        <v>E</v>
      </c>
      <c r="H58" s="282">
        <f>IF(ISNUMBER('Pojedinačni plasman'!G54)=FALSE,"",'Pojedinačni plasman'!G54)</f>
        <v>48</v>
      </c>
      <c r="I58" s="61"/>
    </row>
    <row r="59" spans="1:9" ht="12.75">
      <c r="A59" s="283">
        <f>IF(ISNUMBER(F59)=FALSE,"",50)</f>
        <v>50</v>
      </c>
      <c r="B59" s="293" t="str">
        <f>IF(ISNONTEXT('Pojedinačni plasman'!A55)=TRUE,"",'Pojedinačni plasman'!A55)</f>
        <v>Smail Habibović</v>
      </c>
      <c r="C59" s="294" t="str">
        <f>IF(ISNONTEXT('Pojedinačni plasman'!B55)=TRUE,"",'Pojedinačni plasman'!B55)</f>
        <v>Bjelka GME Sunja</v>
      </c>
      <c r="D59" s="328">
        <f>IF(ISNUMBER('Pojedinačni plasman'!E55)=FALSE,"",'Pojedinačni plasman'!E55)</f>
        <v>10.5</v>
      </c>
      <c r="E59" s="350">
        <f>IF(ISNUMBER('Pojedinačni plasman'!F55)=FALSE,"",'Pojedinačni plasman'!F55)</f>
        <v>1119</v>
      </c>
      <c r="F59" s="321">
        <f>IF(ISNUMBER('Pojedinačni plasman'!C55)=FALSE,"",'Pojedinačni plasman'!C55)</f>
        <v>9</v>
      </c>
      <c r="G59" s="321" t="str">
        <f>IF(ISNONTEXT('Pojedinačni plasman'!D55)=TRUE,"",'Pojedinačni plasman'!D55)</f>
        <v>B</v>
      </c>
      <c r="H59" s="285">
        <f>IF(ISNUMBER('Pojedinačni plasman'!G55)=FALSE,"",'Pojedinačni plasman'!G55)</f>
        <v>50</v>
      </c>
      <c r="I59" s="61"/>
    </row>
    <row r="60" spans="1:9" ht="12.75">
      <c r="A60" s="27"/>
      <c r="B60" s="134"/>
      <c r="C60" s="134"/>
      <c r="D60" s="27"/>
      <c r="E60" s="27"/>
      <c r="F60" s="135"/>
      <c r="G60" s="135"/>
      <c r="H60" s="136"/>
      <c r="I60" s="61"/>
    </row>
    <row r="61" spans="1:9" ht="12.75" customHeight="1">
      <c r="A61" s="466" t="s">
        <v>262</v>
      </c>
      <c r="B61" s="315" t="s">
        <v>22</v>
      </c>
      <c r="C61" s="315" t="s">
        <v>21</v>
      </c>
      <c r="D61" s="305" t="s">
        <v>266</v>
      </c>
      <c r="E61" s="316" t="s">
        <v>102</v>
      </c>
      <c r="F61" s="317" t="s">
        <v>267</v>
      </c>
      <c r="G61" s="317" t="s">
        <v>24</v>
      </c>
      <c r="H61" s="318" t="s">
        <v>257</v>
      </c>
      <c r="I61" s="59"/>
    </row>
    <row r="62" spans="1:9" ht="12.75">
      <c r="A62" s="280">
        <f>IF(ISNUMBER(F62)=FALSE,"",51)</f>
        <v>51</v>
      </c>
      <c r="B62" s="297" t="str">
        <f>IF(ISNONTEXT('Pojedinačni plasman'!A56)=TRUE,"",'Pojedinačni plasman'!A56)</f>
        <v>Zlatko Kračun</v>
      </c>
      <c r="C62" s="298" t="str">
        <f>IF(ISNONTEXT('Pojedinačni plasman'!B56)=TRUE,"",'Pojedinačni plasman'!B56)</f>
        <v>Azzuro Varaždin</v>
      </c>
      <c r="D62" s="327">
        <f>IF(ISNUMBER('Pojedinačni plasman'!E56)=FALSE,"",'Pojedinačni plasman'!E56)</f>
        <v>10.5</v>
      </c>
      <c r="E62" s="349">
        <f>IF(ISNUMBER('Pojedinačni plasman'!F56)=FALSE,"",'Pojedinačni plasman'!F56)</f>
        <v>1119</v>
      </c>
      <c r="F62" s="320">
        <f>IF(ISNUMBER('Pojedinačni plasman'!C56)=FALSE,"",'Pojedinačni plasman'!C56)</f>
        <v>6</v>
      </c>
      <c r="G62" s="320" t="str">
        <f>IF(ISNONTEXT('Pojedinačni plasman'!D56)=TRUE,"",'Pojedinačni plasman'!D56)</f>
        <v>B</v>
      </c>
      <c r="H62" s="282">
        <f>IF(ISNUMBER('Pojedinačni plasman'!G56)=FALSE,"",'Pojedinačni plasman'!G56)</f>
        <v>50</v>
      </c>
      <c r="I62" s="61"/>
    </row>
    <row r="63" spans="1:9" ht="12.75">
      <c r="A63" s="280">
        <f>IF(ISNUMBER(F63)=FALSE,"",52)</f>
        <v>52</v>
      </c>
      <c r="B63" s="297" t="str">
        <f>IF(ISNONTEXT('Pojedinačni plasman'!A57)=TRUE,"",'Pojedinačni plasman'!A57)</f>
        <v>Zdravko Gotovac</v>
      </c>
      <c r="C63" s="298" t="str">
        <f>IF(ISNONTEXT('Pojedinačni plasman'!B57)=TRUE,"",'Pojedinačni plasman'!B57)</f>
        <v>Trnje-ŠR Zagreb</v>
      </c>
      <c r="D63" s="327">
        <f>IF(ISNUMBER('Pojedinačni plasman'!E57)=FALSE,"",'Pojedinačni plasman'!E57)</f>
        <v>10.5</v>
      </c>
      <c r="E63" s="349">
        <f>IF(ISNUMBER('Pojedinačni plasman'!F57)=FALSE,"",'Pojedinačni plasman'!F57)</f>
        <v>905</v>
      </c>
      <c r="F63" s="320">
        <f>IF(ISNUMBER('Pojedinačni plasman'!C57)=FALSE,"",'Pojedinačni plasman'!C57)</f>
        <v>7</v>
      </c>
      <c r="G63" s="320" t="str">
        <f>IF(ISNONTEXT('Pojedinačni plasman'!D57)=TRUE,"",'Pojedinačni plasman'!D57)</f>
        <v>A</v>
      </c>
      <c r="H63" s="282">
        <f>IF(ISNUMBER('Pojedinačni plasman'!G57)=FALSE,"",'Pojedinačni plasman'!G57)</f>
        <v>52</v>
      </c>
      <c r="I63" s="61"/>
    </row>
    <row r="64" spans="1:9" ht="12.75">
      <c r="A64" s="280">
        <f>IF(ISNUMBER(F64)=FALSE,"",53)</f>
        <v>53</v>
      </c>
      <c r="B64" s="297" t="str">
        <f>IF(ISNONTEXT('Pojedinačni plasman'!A58)=TRUE,"",'Pojedinačni plasman'!A58)</f>
        <v>Emil Lukman</v>
      </c>
      <c r="C64" s="298" t="str">
        <f>IF(ISNONTEXT('Pojedinačni plasman'!B58)=TRUE,"",'Pojedinačni plasman'!B58)</f>
        <v>Bjelovar Bjelovar</v>
      </c>
      <c r="D64" s="327">
        <f>IF(ISNUMBER('Pojedinačni plasman'!E58)=FALSE,"",'Pojedinačni plasman'!E58)</f>
        <v>10.5</v>
      </c>
      <c r="E64" s="349">
        <f>IF(ISNUMBER('Pojedinačni plasman'!F58)=FALSE,"",'Pojedinačni plasman'!F58)</f>
        <v>905</v>
      </c>
      <c r="F64" s="320">
        <f>IF(ISNUMBER('Pojedinačni plasman'!C58)=FALSE,"",'Pojedinačni plasman'!C58)</f>
        <v>4</v>
      </c>
      <c r="G64" s="320" t="str">
        <f>IF(ISNONTEXT('Pojedinačni plasman'!D58)=TRUE,"",'Pojedinačni plasman'!D58)</f>
        <v>A</v>
      </c>
      <c r="H64" s="282">
        <f>IF(ISNUMBER('Pojedinačni plasman'!G58)=FALSE,"",'Pojedinačni plasman'!G58)</f>
        <v>52</v>
      </c>
      <c r="I64" s="61"/>
    </row>
    <row r="65" spans="1:9" ht="12.75">
      <c r="A65" s="280">
        <f>IF(ISNUMBER(F65)=FALSE,"",54)</f>
        <v>54</v>
      </c>
      <c r="B65" s="297" t="str">
        <f>IF(ISNONTEXT('Pojedinačni plasman'!A59)=TRUE,"",'Pojedinačni plasman'!A59)</f>
        <v>Hrvoje Horvat</v>
      </c>
      <c r="C65" s="298" t="str">
        <f>IF(ISNONTEXT('Pojedinačni plasman'!B59)=TRUE,"",'Pojedinačni plasman'!B59)</f>
        <v>Štuka Torčec</v>
      </c>
      <c r="D65" s="327">
        <f>IF(ISNUMBER('Pojedinačni plasman'!E59)=FALSE,"",'Pojedinačni plasman'!E59)</f>
        <v>11</v>
      </c>
      <c r="E65" s="349">
        <f>IF(ISNUMBER('Pojedinačni plasman'!F59)=FALSE,"",'Pojedinačni plasman'!F59)</f>
        <v>1098</v>
      </c>
      <c r="F65" s="320">
        <f>IF(ISNUMBER('Pojedinačni plasman'!C59)=FALSE,"",'Pojedinačni plasman'!C59)</f>
        <v>2</v>
      </c>
      <c r="G65" s="320" t="str">
        <f>IF(ISNONTEXT('Pojedinačni plasman'!D59)=TRUE,"",'Pojedinačni plasman'!D59)</f>
        <v>D</v>
      </c>
      <c r="H65" s="282">
        <f>IF(ISNUMBER('Pojedinačni plasman'!G59)=FALSE,"",'Pojedinačni plasman'!G59)</f>
        <v>54</v>
      </c>
      <c r="I65" s="61"/>
    </row>
    <row r="66" spans="1:9" ht="12.75">
      <c r="A66" s="280">
        <f>IF(ISNUMBER(F66)=FALSE,"",55)</f>
        <v>55</v>
      </c>
      <c r="B66" s="297" t="str">
        <f>IF(ISNONTEXT('Pojedinačni plasman'!A60)=TRUE,"",'Pojedinačni plasman'!A60)</f>
        <v>Ivo Begović</v>
      </c>
      <c r="C66" s="298" t="str">
        <f>IF(ISNONTEXT('Pojedinačni plasman'!B60)=TRUE,"",'Pojedinačni plasman'!B60)</f>
        <v>Bjelovar Bjelovar</v>
      </c>
      <c r="D66" s="327">
        <f>IF(ISNUMBER('Pojedinačni plasman'!E60)=FALSE,"",'Pojedinačni plasman'!E60)</f>
        <v>11</v>
      </c>
      <c r="E66" s="349">
        <f>IF(ISNUMBER('Pojedinačni plasman'!F60)=FALSE,"",'Pojedinačni plasman'!F60)</f>
        <v>670</v>
      </c>
      <c r="F66" s="320">
        <f>IF(ISNUMBER('Pojedinačni plasman'!C60)=FALSE,"",'Pojedinačni plasman'!C60)</f>
        <v>4</v>
      </c>
      <c r="G66" s="320" t="str">
        <f>IF(ISNONTEXT('Pojedinačni plasman'!D60)=TRUE,"",'Pojedinačni plasman'!D60)</f>
        <v>C</v>
      </c>
      <c r="H66" s="282">
        <f>IF(ISNUMBER('Pojedinačni plasman'!G60)=FALSE,"",'Pojedinačni plasman'!G60)</f>
        <v>55</v>
      </c>
      <c r="I66" s="61"/>
    </row>
    <row r="67" spans="1:9" ht="12.75">
      <c r="A67" s="280">
        <f>IF(ISNUMBER(F67)=FALSE,"",56)</f>
        <v>56</v>
      </c>
      <c r="B67" s="297" t="str">
        <f>IF(ISNONTEXT('Pojedinačni plasman'!A61)=TRUE,"",'Pojedinačni plasman'!A61)</f>
        <v>Saša Mustač</v>
      </c>
      <c r="C67" s="298" t="str">
        <f>IF(ISNONTEXT('Pojedinačni plasman'!B61)=TRUE,"",'Pojedinačni plasman'!B61)</f>
        <v>Štuka Torčec</v>
      </c>
      <c r="D67" s="327">
        <f>IF(ISNUMBER('Pojedinačni plasman'!E61)=FALSE,"",'Pojedinačni plasman'!E61)</f>
        <v>12</v>
      </c>
      <c r="E67" s="349">
        <f>IF(ISNUMBER('Pojedinačni plasman'!F61)=FALSE,"",'Pojedinačni plasman'!F61)</f>
        <v>1045</v>
      </c>
      <c r="F67" s="320">
        <f>IF(ISNUMBER('Pojedinačni plasman'!C61)=FALSE,"",'Pojedinačni plasman'!C61)</f>
        <v>2</v>
      </c>
      <c r="G67" s="320" t="str">
        <f>IF(ISNONTEXT('Pojedinačni plasman'!D61)=TRUE,"",'Pojedinačni plasman'!D61)</f>
        <v>E</v>
      </c>
      <c r="H67" s="282">
        <f>IF(ISNUMBER('Pojedinačni plasman'!G61)=FALSE,"",'Pojedinačni plasman'!G61)</f>
        <v>56</v>
      </c>
      <c r="I67" s="61"/>
    </row>
    <row r="68" spans="1:9" ht="12.75">
      <c r="A68" s="280">
        <f>IF(ISNUMBER(F68)=FALSE,"",57)</f>
        <v>57</v>
      </c>
      <c r="B68" s="297" t="str">
        <f>IF(ISNONTEXT('Pojedinačni plasman'!A62)=TRUE,"",'Pojedinačni plasman'!A62)</f>
        <v>Tihomir Hunjak</v>
      </c>
      <c r="C68" s="298" t="str">
        <f>IF(ISNONTEXT('Pojedinačni plasman'!B62)=TRUE,"",'Pojedinačni plasman'!B62)</f>
        <v>Varaždin Varaždin</v>
      </c>
      <c r="D68" s="327">
        <f>IF(ISNUMBER('Pojedinačni plasman'!E62)=FALSE,"",'Pojedinačni plasman'!E62)</f>
        <v>12</v>
      </c>
      <c r="E68" s="349">
        <f>IF(ISNUMBER('Pojedinačni plasman'!F62)=FALSE,"",'Pojedinačni plasman'!F62)</f>
        <v>1004</v>
      </c>
      <c r="F68" s="320">
        <f>IF(ISNUMBER('Pojedinačni plasman'!C62)=FALSE,"",'Pojedinačni plasman'!C62)</f>
        <v>5</v>
      </c>
      <c r="G68" s="320" t="str">
        <f>IF(ISNONTEXT('Pojedinačni plasman'!D62)=TRUE,"",'Pojedinačni plasman'!D62)</f>
        <v>B</v>
      </c>
      <c r="H68" s="282">
        <f>IF(ISNUMBER('Pojedinačni plasman'!G62)=FALSE,"",'Pojedinačni plasman'!G62)</f>
        <v>57</v>
      </c>
      <c r="I68" s="61"/>
    </row>
    <row r="69" spans="1:9" ht="12.75">
      <c r="A69" s="280">
        <f>IF(ISNUMBER(F69)=FALSE,"",58)</f>
        <v>58</v>
      </c>
      <c r="B69" s="297" t="str">
        <f>IF(ISNONTEXT('Pojedinačni plasman'!A63)=TRUE,"",'Pojedinačni plasman'!A63)</f>
        <v>Dejan Vondrak</v>
      </c>
      <c r="C69" s="298" t="str">
        <f>IF(ISNONTEXT('Pojedinačni plasman'!B63)=TRUE,"",'Pojedinačni plasman'!B63)</f>
        <v>Bjelka GME Sunja</v>
      </c>
      <c r="D69" s="327">
        <f>IF(ISNUMBER('Pojedinačni plasman'!E63)=FALSE,"",'Pojedinačni plasman'!E63)</f>
        <v>12</v>
      </c>
      <c r="E69" s="349">
        <f>IF(ISNUMBER('Pojedinačni plasman'!F63)=FALSE,"",'Pojedinačni plasman'!F63)</f>
        <v>608</v>
      </c>
      <c r="F69" s="320">
        <f>IF(ISNUMBER('Pojedinačni plasman'!C63)=FALSE,"",'Pojedinačni plasman'!C63)</f>
        <v>9</v>
      </c>
      <c r="G69" s="320" t="str">
        <f>IF(ISNONTEXT('Pojedinačni plasman'!D63)=TRUE,"",'Pojedinačni plasman'!D63)</f>
        <v>C</v>
      </c>
      <c r="H69" s="282">
        <f>IF(ISNUMBER('Pojedinačni plasman'!G63)=FALSE,"",'Pojedinačni plasman'!G63)</f>
        <v>58</v>
      </c>
      <c r="I69" s="61"/>
    </row>
    <row r="70" spans="1:9" ht="12.75">
      <c r="A70" s="280">
        <f>IF(ISNUMBER(F70)=FALSE,"",59)</f>
        <v>59</v>
      </c>
      <c r="B70" s="297" t="str">
        <f>IF(ISNONTEXT('Pojedinačni plasman'!A64)=TRUE,"",'Pojedinačni plasman'!A64)</f>
        <v>Goran Funes</v>
      </c>
      <c r="C70" s="298" t="str">
        <f>IF(ISNONTEXT('Pojedinačni plasman'!B64)=TRUE,"",'Pojedinačni plasman'!B64)</f>
        <v>Klen N.Gradiška</v>
      </c>
      <c r="D70" s="327">
        <f>IF(ISNUMBER('Pojedinačni plasman'!E64)=FALSE,"",'Pojedinačni plasman'!E64)</f>
        <v>12</v>
      </c>
      <c r="E70" s="349">
        <f>IF(ISNUMBER('Pojedinačni plasman'!F64)=FALSE,"",'Pojedinačni plasman'!F64)</f>
        <v>480</v>
      </c>
      <c r="F70" s="320">
        <f>IF(ISNUMBER('Pojedinačni plasman'!C64)=FALSE,"",'Pojedinačni plasman'!C64)</f>
        <v>8</v>
      </c>
      <c r="G70" s="320" t="str">
        <f>IF(ISNONTEXT('Pojedinačni plasman'!D64)=TRUE,"",'Pojedinačni plasman'!D64)</f>
        <v>D</v>
      </c>
      <c r="H70" s="282">
        <f>IF(ISNUMBER('Pojedinačni plasman'!G64)=FALSE,"",'Pojedinačni plasman'!G64)</f>
        <v>59</v>
      </c>
      <c r="I70" s="61"/>
    </row>
    <row r="71" spans="1:9" ht="12.75">
      <c r="A71" s="283">
        <f>IF(ISNUMBER(F71)=FALSE,"",60)</f>
        <v>60</v>
      </c>
      <c r="B71" s="293" t="str">
        <f>IF(ISNONTEXT('Pojedinačni plasman'!A65)=TRUE,"",'Pojedinačni plasman'!A65)</f>
        <v>Ivica Bonino Hasan</v>
      </c>
      <c r="C71" s="294" t="str">
        <f>IF(ISNONTEXT('Pojedinačni plasman'!B65)=TRUE,"",'Pojedinačni plasman'!B65)</f>
        <v>Varaždin Varaždin</v>
      </c>
      <c r="D71" s="328">
        <f>IF(ISNUMBER('Pojedinačni plasman'!E65)=FALSE,"",'Pojedinačni plasman'!E65)</f>
        <v>12</v>
      </c>
      <c r="E71" s="350">
        <f>IF(ISNUMBER('Pojedinačni plasman'!F65)=FALSE,"",'Pojedinačni plasman'!F65)</f>
        <v>475</v>
      </c>
      <c r="F71" s="321">
        <f>IF(ISNUMBER('Pojedinačni plasman'!C65)=FALSE,"",'Pojedinačni plasman'!C65)</f>
        <v>5</v>
      </c>
      <c r="G71" s="321" t="str">
        <f>IF(ISNONTEXT('Pojedinačni plasman'!D65)=TRUE,"",'Pojedinačni plasman'!D65)</f>
        <v>A</v>
      </c>
      <c r="H71" s="285">
        <f>IF(ISNUMBER('Pojedinačni plasman'!G65)=FALSE,"",'Pojedinačni plasman'!G65)</f>
        <v>60</v>
      </c>
      <c r="I71" s="61"/>
    </row>
    <row r="72" spans="1:9" ht="12.75">
      <c r="A72" s="6"/>
      <c r="F72" s="6"/>
      <c r="I72" s="61"/>
    </row>
    <row r="73" spans="1:9" ht="12.75">
      <c r="A73" s="6"/>
      <c r="F73" s="6"/>
      <c r="I73" s="61"/>
    </row>
    <row r="74" spans="1:9" ht="12.75">
      <c r="A74" s="6"/>
      <c r="F74" s="6"/>
      <c r="I74" s="61"/>
    </row>
    <row r="75" spans="1:9" ht="12.75">
      <c r="A75" s="6"/>
      <c r="F75" s="6"/>
      <c r="I75" s="61"/>
    </row>
    <row r="76" spans="1:9" ht="12.75">
      <c r="A76" s="6"/>
      <c r="F76" s="6"/>
      <c r="I76" s="61"/>
    </row>
    <row r="77" spans="2:8" ht="12.75">
      <c r="B77" s="57"/>
      <c r="D77" s="7"/>
      <c r="E77" s="57"/>
      <c r="G77" s="7"/>
      <c r="H77" s="7"/>
    </row>
    <row r="78" spans="2:8" ht="12.75">
      <c r="B78" s="57"/>
      <c r="D78" s="7"/>
      <c r="E78" s="57"/>
      <c r="G78" s="7"/>
      <c r="H78" s="7"/>
    </row>
    <row r="79" spans="2:8" ht="12.75">
      <c r="B79" s="57"/>
      <c r="D79" s="7"/>
      <c r="E79" s="57"/>
      <c r="G79" s="7"/>
      <c r="H79" s="7"/>
    </row>
    <row r="80" spans="2:8" ht="12.75">
      <c r="B80" s="57"/>
      <c r="D80" s="7"/>
      <c r="E80" s="57"/>
      <c r="G80" s="7"/>
      <c r="H80" s="7"/>
    </row>
    <row r="81" spans="2:8" ht="12.75">
      <c r="B81" s="57"/>
      <c r="D81" s="7"/>
      <c r="E81" s="57"/>
      <c r="G81" s="7"/>
      <c r="H81" s="7"/>
    </row>
    <row r="82" spans="4:8" ht="12.75">
      <c r="D82" s="7"/>
      <c r="E82" s="7"/>
      <c r="G82" s="7"/>
      <c r="H82" s="7"/>
    </row>
    <row r="83" spans="4:8" ht="12.75">
      <c r="D83" s="7"/>
      <c r="E83" s="7"/>
      <c r="G83" s="7"/>
      <c r="H83" s="7"/>
    </row>
    <row r="84" spans="4:8" ht="12.75">
      <c r="D84" s="7"/>
      <c r="E84" s="7"/>
      <c r="G84" s="7"/>
      <c r="H84" s="7"/>
    </row>
    <row r="85" spans="4:8" ht="12.75">
      <c r="D85" s="7"/>
      <c r="E85" s="7"/>
      <c r="G85" s="7"/>
      <c r="H85" s="7"/>
    </row>
    <row r="86" spans="4:8" ht="12.75">
      <c r="D86" s="7"/>
      <c r="E86" s="7"/>
      <c r="G86" s="7"/>
      <c r="H86" s="7"/>
    </row>
    <row r="87" spans="4:8" ht="12.75">
      <c r="D87" s="7"/>
      <c r="E87" s="7"/>
      <c r="G87" s="7"/>
      <c r="H87" s="7"/>
    </row>
    <row r="113" spans="1:8" ht="12.75">
      <c r="A113" s="27"/>
      <c r="B113" s="26"/>
      <c r="C113" s="26"/>
      <c r="D113" s="26"/>
      <c r="E113" s="26"/>
      <c r="F113" s="27"/>
      <c r="G113" s="26"/>
      <c r="H113" s="26"/>
    </row>
    <row r="117" spans="1:6" ht="12.75">
      <c r="A117" s="6"/>
      <c r="F117" s="6"/>
    </row>
    <row r="120" spans="1:6" ht="12.75">
      <c r="A120" s="6"/>
      <c r="F120" s="6"/>
    </row>
  </sheetData>
  <sheetProtection password="C7E2" sheet="1" objects="1" scenarios="1"/>
  <printOptions horizontalCentered="1"/>
  <pageMargins left="0.984251968503937" right="0.984251968503937" top="0.7874015748031497" bottom="0.9448818897637796" header="0.5511811023622047" footer="0.4724409448818898"/>
  <pageSetup horizontalDpi="300" verticalDpi="300" orientation="portrait" paperSize="9" scale="96" r:id="rId4"/>
  <headerFooter alignWithMargins="0">
    <oddFooter>&amp;L&amp;"Arial,Kurziv"&amp;12&amp;YPojedinačni plasman&amp;C&amp;"Arial,Kurziv"&amp;12&amp;XProgram za izračun rezultata i provođenje natjecanja&amp;R&amp;"Arial,Kurziv"&amp;11&amp;YStranica &amp;P</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Sheet12">
    <tabColor indexed="51"/>
  </sheetPr>
  <dimension ref="A1:J105"/>
  <sheetViews>
    <sheetView showRowColHeaders="0" zoomScalePageLayoutView="0" workbookViewId="0" topLeftCell="A1">
      <selection activeCell="I33" sqref="I32:I33"/>
    </sheetView>
  </sheetViews>
  <sheetFormatPr defaultColWidth="9.140625" defaultRowHeight="12.75"/>
  <cols>
    <col min="1" max="1" width="8.421875" style="16" customWidth="1"/>
    <col min="2" max="2" width="9.140625" style="16" customWidth="1"/>
    <col min="3" max="3" width="10.140625" style="16" customWidth="1"/>
    <col min="4" max="4" width="15.57421875" style="16" customWidth="1"/>
    <col min="5" max="5" width="9.28125" style="16" customWidth="1"/>
    <col min="6" max="6" width="14.140625" style="16" customWidth="1"/>
    <col min="7" max="7" width="15.140625" style="16" customWidth="1"/>
    <col min="8" max="9" width="9.140625" style="16" customWidth="1"/>
    <col min="10" max="10" width="9.140625" style="16" hidden="1" customWidth="1"/>
    <col min="11" max="16384" width="9.140625" style="16" customWidth="1"/>
  </cols>
  <sheetData>
    <row r="1" spans="1:7" s="21" customFormat="1" ht="12.75">
      <c r="A1" s="380" t="s">
        <v>248</v>
      </c>
      <c r="B1" s="319"/>
      <c r="C1" s="381"/>
      <c r="D1" s="301" t="str">
        <f>IF(ISNONTEXT('Organizacija natjecanja'!$H$2)=TRUE,"",'Organizacija natjecanja'!$H$2)</f>
        <v>KUP "BLJESAK"</v>
      </c>
      <c r="E1" s="381"/>
      <c r="F1" s="381"/>
      <c r="G1" s="382"/>
    </row>
    <row r="2" spans="1:7" s="21" customFormat="1" ht="12.75">
      <c r="A2" s="383" t="s">
        <v>249</v>
      </c>
      <c r="B2" s="320"/>
      <c r="C2" s="384"/>
      <c r="D2" s="302" t="str">
        <f>IF(ISNONTEXT('Organizacija natjecanja'!$H$5)=TRUE,"",'Organizacija natjecanja'!$H$5)</f>
        <v>Lipik, 28.04.2009.g.</v>
      </c>
      <c r="E2" s="384"/>
      <c r="F2" s="384"/>
      <c r="G2" s="385"/>
    </row>
    <row r="3" spans="1:7" s="21" customFormat="1" ht="12.75">
      <c r="A3" s="383" t="s">
        <v>250</v>
      </c>
      <c r="B3" s="320"/>
      <c r="C3" s="384"/>
      <c r="D3" s="302" t="str">
        <f>IF(ISNONTEXT('Organizacija natjecanja'!$H$7)=TRUE,"",'Organizacija natjecanja'!$H$7)</f>
        <v>ŠRS Požeško slavonske županije</v>
      </c>
      <c r="E3" s="384"/>
      <c r="F3" s="384"/>
      <c r="G3" s="385"/>
    </row>
    <row r="4" spans="1:7" s="21" customFormat="1" ht="12.75">
      <c r="A4" s="383" t="s">
        <v>251</v>
      </c>
      <c r="B4" s="320"/>
      <c r="C4" s="384"/>
      <c r="D4" s="302" t="str">
        <f>IF(ISNONTEXT('Organizacija natjecanja'!$H$13)=TRUE,"",'Organizacija natjecanja'!$H$13)</f>
        <v>ŠRD Pakrac Pakrac</v>
      </c>
      <c r="E4" s="384"/>
      <c r="F4" s="384"/>
      <c r="G4" s="385"/>
    </row>
    <row r="5" spans="1:8" s="21" customFormat="1" ht="12.75">
      <c r="A5" s="383" t="s">
        <v>252</v>
      </c>
      <c r="B5" s="320"/>
      <c r="C5" s="384"/>
      <c r="D5" s="302" t="str">
        <f>IF(ISNONTEXT('Organizacija natjecanja'!$H$4)=TRUE,"",'Organizacija natjecanja'!$H$4)</f>
        <v>Jezero Raminac</v>
      </c>
      <c r="E5" s="384"/>
      <c r="F5" s="384"/>
      <c r="G5" s="385"/>
      <c r="H5" s="386"/>
    </row>
    <row r="6" spans="1:7" s="21" customFormat="1" ht="12.75">
      <c r="A6" s="383"/>
      <c r="B6" s="320"/>
      <c r="C6" s="384"/>
      <c r="D6" s="302"/>
      <c r="E6" s="384"/>
      <c r="F6" s="384"/>
      <c r="G6" s="385"/>
    </row>
    <row r="7" spans="1:7" ht="14.25" customHeight="1">
      <c r="A7" s="265" t="s">
        <v>221</v>
      </c>
      <c r="B7" s="266"/>
      <c r="C7" s="294"/>
      <c r="D7" s="267" t="str">
        <f>IF(ISBLANK('Organizacija natjecanja'!$H$9)=TRUE,"",'Organizacija natjecanja'!$H$9)</f>
        <v>SENIORI</v>
      </c>
      <c r="E7" s="269"/>
      <c r="F7" s="269"/>
      <c r="G7" s="340"/>
    </row>
    <row r="8" spans="1:6" ht="12.75">
      <c r="A8" s="58"/>
      <c r="F8" s="57"/>
    </row>
    <row r="9" spans="1:7" ht="12.75">
      <c r="A9" s="391"/>
      <c r="B9" s="296"/>
      <c r="C9" s="296"/>
      <c r="D9" s="296"/>
      <c r="E9" s="296"/>
      <c r="F9" s="319"/>
      <c r="G9" s="336"/>
    </row>
    <row r="10" spans="1:7" ht="12.75">
      <c r="A10" s="371" t="s">
        <v>92</v>
      </c>
      <c r="B10" s="298"/>
      <c r="C10" s="310"/>
      <c r="D10" s="399">
        <f>COUNTA('Prijava ekipa i izvlačenje br.'!C2:C37)</f>
        <v>12</v>
      </c>
      <c r="E10" s="310" t="s">
        <v>93</v>
      </c>
      <c r="F10" s="399">
        <f>COUNTA('Prijava ekipa i izvlačenje br.'!D2:D36,'Prijava ekipa i izvlačenje br.'!G2:G36,'Prijava ekipa i izvlačenje br.'!J2:J36,'Prijava ekipa i izvlačenje br.'!M2:M36,'Prijava ekipa i izvlačenje br.'!P2:P36)</f>
        <v>60</v>
      </c>
      <c r="G10" s="369" t="s">
        <v>94</v>
      </c>
    </row>
    <row r="11" spans="1:9" ht="12.75">
      <c r="A11" s="280">
        <f>COUNTIF('Žiri natjecanja'!C32:C43,"kapetan")</f>
        <v>5</v>
      </c>
      <c r="B11" s="310" t="s">
        <v>95</v>
      </c>
      <c r="C11" s="298"/>
      <c r="D11" s="327">
        <f>IF(ISBLANK('Organizacija natjecanja'!$H$40)=TRUE,"",'Organizacija natjecanja'!$H$40)</f>
        <v>8</v>
      </c>
      <c r="E11" s="310" t="s">
        <v>105</v>
      </c>
      <c r="F11" s="310"/>
      <c r="G11" s="369"/>
      <c r="H11" s="6"/>
      <c r="I11" s="6"/>
    </row>
    <row r="12" spans="1:7" ht="12.75">
      <c r="A12" s="371" t="s">
        <v>97</v>
      </c>
      <c r="B12" s="389">
        <f>SUM(F10+A11+D11)</f>
        <v>73</v>
      </c>
      <c r="C12" s="310" t="s">
        <v>98</v>
      </c>
      <c r="D12" s="310" t="s">
        <v>99</v>
      </c>
      <c r="E12" s="310"/>
      <c r="F12" s="310"/>
      <c r="G12" s="369"/>
    </row>
    <row r="13" spans="1:7" ht="12.75">
      <c r="A13" s="392"/>
      <c r="B13" s="298"/>
      <c r="C13" s="298"/>
      <c r="D13" s="298"/>
      <c r="E13" s="298"/>
      <c r="F13" s="298"/>
      <c r="G13" s="338"/>
    </row>
    <row r="14" spans="1:9" ht="15.75">
      <c r="A14" s="393" t="s">
        <v>100</v>
      </c>
      <c r="B14" s="394"/>
      <c r="C14" s="298"/>
      <c r="D14" s="298"/>
      <c r="E14" s="298"/>
      <c r="F14" s="298"/>
      <c r="G14" s="338"/>
      <c r="I14" s="57"/>
    </row>
    <row r="15" spans="1:7" ht="12.75">
      <c r="A15" s="392"/>
      <c r="B15" s="320"/>
      <c r="C15" s="298"/>
      <c r="D15" s="298"/>
      <c r="E15" s="298"/>
      <c r="F15" s="298"/>
      <c r="G15" s="338"/>
    </row>
    <row r="16" spans="1:7" ht="12.75">
      <c r="A16" s="396" t="s">
        <v>253</v>
      </c>
      <c r="B16" s="320"/>
      <c r="C16" s="298"/>
      <c r="D16" s="298"/>
      <c r="E16" s="298"/>
      <c r="F16" s="298"/>
      <c r="G16" s="338"/>
    </row>
    <row r="17" spans="1:7" ht="12.75">
      <c r="A17" s="390" t="s">
        <v>257</v>
      </c>
      <c r="B17" s="388" t="s">
        <v>102</v>
      </c>
      <c r="C17" s="387" t="s">
        <v>267</v>
      </c>
      <c r="D17" s="388" t="s">
        <v>22</v>
      </c>
      <c r="E17" s="511" t="s">
        <v>21</v>
      </c>
      <c r="F17" s="511"/>
      <c r="G17" s="512"/>
    </row>
    <row r="18" spans="1:7" ht="12.75">
      <c r="A18" s="337">
        <f>IF(ISNUMBER('Sektorski plasman'!A10)=FALSE,"",'Sektorski plasman'!A10)</f>
        <v>3</v>
      </c>
      <c r="B18" s="462">
        <f>IF(ISNUMBER('Sektorski plasman'!B10)=FALSE,"",'Sektorski plasman'!B10)</f>
        <v>2978</v>
      </c>
      <c r="C18" s="320">
        <f>IF(ISNUMBER('Sektorski plasman'!C10)=FALSE,"",'Sektorski plasman'!C10)</f>
        <v>3</v>
      </c>
      <c r="D18" s="297" t="str">
        <f>IF(ISNONTEXT('Sektorski plasman'!D10)=TRUE,"",'Sektorski plasman'!D10)</f>
        <v>Mladen Kečkeš</v>
      </c>
      <c r="E18" s="298"/>
      <c r="F18" s="298" t="str">
        <f>IF(ISNONTEXT('Sektorski plasman'!E10)=TRUE,"",'Sektorski plasman'!E10)</f>
        <v>Rak Rakitje</v>
      </c>
      <c r="G18" s="338"/>
    </row>
    <row r="19" spans="1:7" ht="12.75">
      <c r="A19" s="337">
        <f>IF(ISNUMBER('Sektorski plasman'!A9)=FALSE,"",'Sektorski plasman'!A9)</f>
        <v>2</v>
      </c>
      <c r="B19" s="462">
        <f>IF(ISNUMBER('Sektorski plasman'!B9)=FALSE,"",'Sektorski plasman'!B9)</f>
        <v>4235</v>
      </c>
      <c r="C19" s="320">
        <f>IF(ISNUMBER('Sektorski plasman'!C9)=FALSE,"",'Sektorski plasman'!C9)</f>
        <v>2</v>
      </c>
      <c r="D19" s="297" t="str">
        <f>IF(ISNONTEXT('Sektorski plasman'!D9)=TRUE,"",'Sektorski plasman'!D9)</f>
        <v>Goran Štargl</v>
      </c>
      <c r="E19" s="298"/>
      <c r="F19" s="298" t="str">
        <f>IF(ISNONTEXT('Sektorski plasman'!E9)=TRUE,"",'Sektorski plasman'!E9)</f>
        <v>Štuka Torčec</v>
      </c>
      <c r="G19" s="338"/>
    </row>
    <row r="20" spans="1:7" ht="12.75">
      <c r="A20" s="337">
        <f>IF(ISNUMBER('Sektorski plasman'!A8)=FALSE,"",'Sektorski plasman'!A8)</f>
        <v>1</v>
      </c>
      <c r="B20" s="462">
        <f>IF(ISNUMBER('Sektorski plasman'!B8)=FALSE,"",'Sektorski plasman'!B8)</f>
        <v>5000</v>
      </c>
      <c r="C20" s="320">
        <f>IF(ISNUMBER('Sektorski plasman'!C8)=FALSE,"",'Sektorski plasman'!C8)</f>
        <v>1</v>
      </c>
      <c r="D20" s="297" t="str">
        <f>IF(ISNONTEXT('Sektorski plasman'!D8)=TRUE,"",'Sektorski plasman'!D8)</f>
        <v>Elvis Šinko</v>
      </c>
      <c r="E20" s="298"/>
      <c r="F20" s="298" t="str">
        <f>IF(ISNONTEXT('Sektorski plasman'!E8)=TRUE,"",'Sektorski plasman'!E8)</f>
        <v>Korana Karlovac</v>
      </c>
      <c r="G20" s="338"/>
    </row>
    <row r="21" spans="1:7" ht="12.75" customHeight="1">
      <c r="A21" s="397"/>
      <c r="B21" s="320"/>
      <c r="C21" s="298"/>
      <c r="D21" s="298"/>
      <c r="E21" s="298"/>
      <c r="F21" s="298"/>
      <c r="G21" s="338"/>
    </row>
    <row r="22" spans="1:7" ht="15.75">
      <c r="A22" s="395"/>
      <c r="B22" s="298"/>
      <c r="C22" s="298"/>
      <c r="D22" s="298"/>
      <c r="E22" s="298"/>
      <c r="F22" s="298"/>
      <c r="G22" s="338"/>
    </row>
    <row r="23" spans="1:7" ht="12.75">
      <c r="A23" s="396" t="s">
        <v>258</v>
      </c>
      <c r="B23" s="320"/>
      <c r="C23" s="298"/>
      <c r="D23" s="298"/>
      <c r="E23" s="298"/>
      <c r="F23" s="298"/>
      <c r="G23" s="338"/>
    </row>
    <row r="24" spans="1:7" ht="12.75">
      <c r="A24" s="390" t="s">
        <v>257</v>
      </c>
      <c r="B24" s="388" t="s">
        <v>102</v>
      </c>
      <c r="C24" s="387" t="s">
        <v>267</v>
      </c>
      <c r="D24" s="388" t="s">
        <v>22</v>
      </c>
      <c r="E24" s="511" t="s">
        <v>21</v>
      </c>
      <c r="F24" s="511"/>
      <c r="G24" s="512"/>
    </row>
    <row r="25" spans="1:7" ht="12.75">
      <c r="A25" s="337">
        <f>IF(ISNUMBER('Sektorski plasman'!A27)=FALSE,"",'Sektorski plasman'!A27)</f>
        <v>3</v>
      </c>
      <c r="B25" s="462">
        <f>IF(ISNUMBER('Sektorski plasman'!B27)=FALSE,"",'Sektorski plasman'!B27)</f>
        <v>2536</v>
      </c>
      <c r="C25" s="320">
        <f>IF(ISNUMBER('Sektorski plasman'!C27)=FALSE,"",'Sektorski plasman'!C27)</f>
        <v>2</v>
      </c>
      <c r="D25" s="297" t="str">
        <f>IF(ISNONTEXT('Sektorski plasman'!D27)=TRUE,"",'Sektorski plasman'!D27)</f>
        <v>Goran Matijašić</v>
      </c>
      <c r="E25" s="298"/>
      <c r="F25" s="298" t="str">
        <f>IF(ISNONTEXT('Sektorski plasman'!E27)=TRUE,"",'Sektorski plasman'!E27)</f>
        <v>Štuka Torčec</v>
      </c>
      <c r="G25" s="338"/>
    </row>
    <row r="26" spans="1:7" ht="12.75">
      <c r="A26" s="337">
        <f>IF(ISNUMBER('Sektorski plasman'!A26)=FALSE,"",'Sektorski plasman'!A26)</f>
        <v>2</v>
      </c>
      <c r="B26" s="462">
        <f>IF(ISNUMBER('Sektorski plasman'!B26)=FALSE,"",'Sektorski plasman'!B26)</f>
        <v>3700</v>
      </c>
      <c r="C26" s="320">
        <f>IF(ISNUMBER('Sektorski plasman'!C26)=FALSE,"",'Sektorski plasman'!C26)</f>
        <v>12</v>
      </c>
      <c r="D26" s="297" t="str">
        <f>IF(ISNONTEXT('Sektorski plasman'!D26)=TRUE,"",'Sektorski plasman'!D26)</f>
        <v>Marijan Kumić</v>
      </c>
      <c r="E26" s="298"/>
      <c r="F26" s="298" t="str">
        <f>IF(ISNONTEXT('Sektorski plasman'!E26)=TRUE,"",'Sektorski plasman'!E26)</f>
        <v>Jez Jasenovac</v>
      </c>
      <c r="G26" s="338"/>
    </row>
    <row r="27" spans="1:7" ht="12.75">
      <c r="A27" s="337">
        <f>IF(ISNUMBER('Sektorski plasman'!A25)=FALSE,"",'Sektorski plasman'!A25)</f>
        <v>1</v>
      </c>
      <c r="B27" s="462">
        <f>IF(ISNUMBER('Sektorski plasman'!B25)=FALSE,"",'Sektorski plasman'!B25)</f>
        <v>5000</v>
      </c>
      <c r="C27" s="320">
        <f>IF(ISNUMBER('Sektorski plasman'!C25)=FALSE,"",'Sektorski plasman'!C25)</f>
        <v>1</v>
      </c>
      <c r="D27" s="297" t="str">
        <f>IF(ISNONTEXT('Sektorski plasman'!D25)=TRUE,"",'Sektorski plasman'!D25)</f>
        <v>Nenad Viboh</v>
      </c>
      <c r="E27" s="298"/>
      <c r="F27" s="298" t="str">
        <f>IF(ISNONTEXT('Sektorski plasman'!E25)=TRUE,"",'Sektorski plasman'!E25)</f>
        <v>Korana Karlovac</v>
      </c>
      <c r="G27" s="338"/>
    </row>
    <row r="28" spans="1:7" ht="12.75">
      <c r="A28" s="392"/>
      <c r="B28" s="298"/>
      <c r="C28" s="298"/>
      <c r="D28" s="298"/>
      <c r="E28" s="298"/>
      <c r="F28" s="298"/>
      <c r="G28" s="338"/>
    </row>
    <row r="29" spans="1:7" ht="15.75">
      <c r="A29" s="395"/>
      <c r="B29" s="298"/>
      <c r="C29" s="298"/>
      <c r="D29" s="298"/>
      <c r="E29" s="298"/>
      <c r="F29" s="298"/>
      <c r="G29" s="338"/>
    </row>
    <row r="30" spans="1:7" ht="12.75">
      <c r="A30" s="396" t="s">
        <v>259</v>
      </c>
      <c r="B30" s="320"/>
      <c r="C30" s="298"/>
      <c r="D30" s="298"/>
      <c r="E30" s="298"/>
      <c r="F30" s="298"/>
      <c r="G30" s="338"/>
    </row>
    <row r="31" spans="1:7" ht="12.75">
      <c r="A31" s="390" t="s">
        <v>257</v>
      </c>
      <c r="B31" s="388" t="s">
        <v>102</v>
      </c>
      <c r="C31" s="387" t="s">
        <v>267</v>
      </c>
      <c r="D31" s="388" t="s">
        <v>22</v>
      </c>
      <c r="E31" s="511" t="s">
        <v>21</v>
      </c>
      <c r="F31" s="511"/>
      <c r="G31" s="512"/>
    </row>
    <row r="32" spans="1:7" ht="12.75">
      <c r="A32" s="337">
        <f>IF(ISNUMBER('Sektorski plasman'!A44)=FALSE,"",'Sektorski plasman'!A44)</f>
        <v>3</v>
      </c>
      <c r="B32" s="462">
        <f>IF(ISNUMBER('Sektorski plasman'!B44)=FALSE,"",'Sektorski plasman'!B44)</f>
        <v>4500</v>
      </c>
      <c r="C32" s="320">
        <f>IF(ISNUMBER('Sektorski plasman'!C44)=FALSE,"",'Sektorski plasman'!C44)</f>
        <v>12</v>
      </c>
      <c r="D32" s="297" t="str">
        <f>IF(ISNONTEXT('Sektorski plasman'!D44)=TRUE,"",'Sektorski plasman'!D44)</f>
        <v>Siniša Finek</v>
      </c>
      <c r="E32" s="298"/>
      <c r="F32" s="298" t="str">
        <f>IF(ISNONTEXT('Sektorski plasman'!E44)=TRUE,"",'Sektorski plasman'!E44)</f>
        <v>Jez Jasenovac</v>
      </c>
      <c r="G32" s="338"/>
    </row>
    <row r="33" spans="1:7" ht="12.75">
      <c r="A33" s="337">
        <f>IF(ISNUMBER('Sektorski plasman'!A43)=FALSE,"",'Sektorski plasman'!A43)</f>
        <v>2</v>
      </c>
      <c r="B33" s="462">
        <f>IF(ISNUMBER('Sektorski plasman'!B43)=FALSE,"",'Sektorski plasman'!B43)</f>
        <v>4740</v>
      </c>
      <c r="C33" s="320">
        <f>IF(ISNUMBER('Sektorski plasman'!C43)=FALSE,"",'Sektorski plasman'!C43)</f>
        <v>3</v>
      </c>
      <c r="D33" s="297" t="str">
        <f>IF(ISNONTEXT('Sektorski plasman'!D43)=TRUE,"",'Sektorski plasman'!D43)</f>
        <v>Stjepan Gorički</v>
      </c>
      <c r="E33" s="298"/>
      <c r="F33" s="298" t="str">
        <f>IF(ISNONTEXT('Sektorski plasman'!E43)=TRUE,"",'Sektorski plasman'!E43)</f>
        <v>Rak Rakitje</v>
      </c>
      <c r="G33" s="338"/>
    </row>
    <row r="34" spans="1:7" ht="12.75">
      <c r="A34" s="337">
        <f>IF(ISNUMBER('Sektorski plasman'!A42)=FALSE,"",'Sektorski plasman'!A42)</f>
        <v>1</v>
      </c>
      <c r="B34" s="462">
        <f>IF(ISNUMBER('Sektorski plasman'!B42)=FALSE,"",'Sektorski plasman'!B42)</f>
        <v>5000</v>
      </c>
      <c r="C34" s="320">
        <f>IF(ISNUMBER('Sektorski plasman'!C42)=FALSE,"",'Sektorski plasman'!C42)</f>
        <v>1</v>
      </c>
      <c r="D34" s="297" t="str">
        <f>IF(ISNONTEXT('Sektorski plasman'!D42)=TRUE,"",'Sektorski plasman'!D42)</f>
        <v>Hrvoje Kovač</v>
      </c>
      <c r="E34" s="298"/>
      <c r="F34" s="298" t="str">
        <f>IF(ISNONTEXT('Sektorski plasman'!E42)=TRUE,"",'Sektorski plasman'!E42)</f>
        <v>Korana Karlovac</v>
      </c>
      <c r="G34" s="338"/>
    </row>
    <row r="35" spans="1:7" ht="12.75">
      <c r="A35" s="398"/>
      <c r="B35" s="298"/>
      <c r="C35" s="298"/>
      <c r="D35" s="298"/>
      <c r="E35" s="298"/>
      <c r="F35" s="298"/>
      <c r="G35" s="338"/>
    </row>
    <row r="36" spans="1:7" ht="15.75">
      <c r="A36" s="395"/>
      <c r="B36" s="298"/>
      <c r="C36" s="298"/>
      <c r="D36" s="298"/>
      <c r="E36" s="298"/>
      <c r="F36" s="298"/>
      <c r="G36" s="338"/>
    </row>
    <row r="37" spans="1:7" ht="12.75">
      <c r="A37" s="396" t="s">
        <v>260</v>
      </c>
      <c r="B37" s="320"/>
      <c r="C37" s="298"/>
      <c r="D37" s="298"/>
      <c r="E37" s="298"/>
      <c r="F37" s="298"/>
      <c r="G37" s="338"/>
    </row>
    <row r="38" spans="1:7" ht="12.75">
      <c r="A38" s="390" t="s">
        <v>257</v>
      </c>
      <c r="B38" s="388" t="s">
        <v>102</v>
      </c>
      <c r="C38" s="387" t="s">
        <v>267</v>
      </c>
      <c r="D38" s="388" t="s">
        <v>22</v>
      </c>
      <c r="E38" s="511" t="s">
        <v>21</v>
      </c>
      <c r="F38" s="511"/>
      <c r="G38" s="512"/>
    </row>
    <row r="39" spans="1:7" ht="12.75">
      <c r="A39" s="337">
        <f>IF(ISNUMBER('Sektorski plasman'!A63)=FALSE,"",'Sektorski plasman'!A63)</f>
        <v>3</v>
      </c>
      <c r="B39" s="462">
        <f>IF(ISNUMBER('Sektorski plasman'!B63)=FALSE,"",'Sektorski plasman'!B63)</f>
        <v>2970</v>
      </c>
      <c r="C39" s="320">
        <f>IF(ISNUMBER('Sektorski plasman'!C63)=FALSE,"",'Sektorski plasman'!C63)</f>
        <v>12</v>
      </c>
      <c r="D39" s="297" t="str">
        <f>IF(ISNONTEXT('Sektorski plasman'!D63)=TRUE,"",'Sektorski plasman'!D63)</f>
        <v>Mario Akmačić</v>
      </c>
      <c r="E39" s="298"/>
      <c r="F39" s="298" t="str">
        <f>IF(ISNONTEXT('Sektorski plasman'!E63)=TRUE,"",'Sektorski plasman'!E63)</f>
        <v>Jez Jasenovac</v>
      </c>
      <c r="G39" s="338"/>
    </row>
    <row r="40" spans="1:7" ht="12.75">
      <c r="A40" s="337">
        <f>IF(ISNUMBER('Sektorski plasman'!A62)=FALSE,"",'Sektorski plasman'!A62)</f>
        <v>2</v>
      </c>
      <c r="B40" s="462">
        <f>IF(ISNUMBER('Sektorski plasman'!B62)=FALSE,"",'Sektorski plasman'!B62)</f>
        <v>3700</v>
      </c>
      <c r="C40" s="320">
        <f>IF(ISNUMBER('Sektorski plasman'!C62)=FALSE,"",'Sektorski plasman'!C62)</f>
        <v>5</v>
      </c>
      <c r="D40" s="297" t="str">
        <f>IF(ISNONTEXT('Sektorski plasman'!D62)=TRUE,"",'Sektorski plasman'!D62)</f>
        <v>Damir Škorić</v>
      </c>
      <c r="E40" s="298"/>
      <c r="F40" s="298" t="str">
        <f>IF(ISNONTEXT('Sektorski plasman'!E62)=TRUE,"",'Sektorski plasman'!E62)</f>
        <v>Varaždin Varaždin</v>
      </c>
      <c r="G40" s="338"/>
    </row>
    <row r="41" spans="1:7" ht="12.75">
      <c r="A41" s="337">
        <f>IF(ISNUMBER('Sektorski plasman'!A61)=FALSE,"",'Sektorski plasman'!A61)</f>
        <v>1</v>
      </c>
      <c r="B41" s="462">
        <f>IF(ISNUMBER('Sektorski plasman'!B61)=FALSE,"",'Sektorski plasman'!B61)</f>
        <v>5000</v>
      </c>
      <c r="C41" s="320">
        <f>IF(ISNUMBER('Sektorski plasman'!C61)=FALSE,"",'Sektorski plasman'!C61)</f>
        <v>1</v>
      </c>
      <c r="D41" s="297" t="str">
        <f>IF(ISNONTEXT('Sektorski plasman'!D61)=TRUE,"",'Sektorski plasman'!D61)</f>
        <v>Damir Jauševac</v>
      </c>
      <c r="E41" s="298"/>
      <c r="F41" s="298" t="str">
        <f>IF(ISNONTEXT('Sektorski plasman'!E61)=TRUE,"",'Sektorski plasman'!E61)</f>
        <v>Korana Karlovac</v>
      </c>
      <c r="G41" s="338"/>
    </row>
    <row r="42" spans="1:7" ht="12.75">
      <c r="A42" s="392"/>
      <c r="B42" s="298"/>
      <c r="C42" s="298"/>
      <c r="D42" s="298"/>
      <c r="E42" s="298"/>
      <c r="F42" s="298"/>
      <c r="G42" s="338"/>
    </row>
    <row r="43" spans="1:7" ht="15.75">
      <c r="A43" s="395"/>
      <c r="B43" s="298"/>
      <c r="C43" s="298"/>
      <c r="D43" s="298"/>
      <c r="E43" s="298"/>
      <c r="F43" s="298"/>
      <c r="G43" s="338"/>
    </row>
    <row r="44" spans="1:7" s="59" customFormat="1" ht="12.75">
      <c r="A44" s="396" t="s">
        <v>261</v>
      </c>
      <c r="B44" s="320"/>
      <c r="C44" s="298"/>
      <c r="D44" s="298"/>
      <c r="E44" s="298"/>
      <c r="F44" s="298"/>
      <c r="G44" s="338"/>
    </row>
    <row r="45" spans="1:7" ht="12.75">
      <c r="A45" s="390" t="s">
        <v>257</v>
      </c>
      <c r="B45" s="388" t="s">
        <v>102</v>
      </c>
      <c r="C45" s="387" t="s">
        <v>267</v>
      </c>
      <c r="D45" s="388" t="s">
        <v>22</v>
      </c>
      <c r="E45" s="511" t="s">
        <v>21</v>
      </c>
      <c r="F45" s="511"/>
      <c r="G45" s="512"/>
    </row>
    <row r="46" spans="1:7" ht="12.75">
      <c r="A46" s="337">
        <f>IF(ISNUMBER('Sektorski plasman'!A80)=FALSE,"",'Sektorski plasman'!A80)</f>
        <v>3.5</v>
      </c>
      <c r="B46" s="462">
        <f>IF(ISNUMBER('Sektorski plasman'!B80)=FALSE,"",'Sektorski plasman'!B80)</f>
        <v>1765</v>
      </c>
      <c r="C46" s="320">
        <f>IF(ISNUMBER('Sektorski plasman'!C80)=FALSE,"",'Sektorski plasman'!C80)</f>
        <v>11</v>
      </c>
      <c r="D46" s="297" t="str">
        <f>IF(ISNONTEXT('Sektorski plasman'!D80)=TRUE,"",'Sektorski plasman'!D80)</f>
        <v>Josip Kutlić</v>
      </c>
      <c r="E46" s="298"/>
      <c r="F46" s="298" t="str">
        <f>IF(ISNONTEXT('Sektorski plasman'!E80)=TRUE,"",'Sektorski plasman'!E80)</f>
        <v>Ilova Garešnica</v>
      </c>
      <c r="G46" s="338"/>
    </row>
    <row r="47" spans="1:7" ht="12.75">
      <c r="A47" s="337">
        <f>IF(ISNUMBER('Sektorski plasman'!A79)=FALSE,"",'Sektorski plasman'!A79)</f>
        <v>2</v>
      </c>
      <c r="B47" s="462">
        <f>IF(ISNUMBER('Sektorski plasman'!B79)=FALSE,"",'Sektorski plasman'!B79)</f>
        <v>3800</v>
      </c>
      <c r="C47" s="320">
        <f>IF(ISNUMBER('Sektorski plasman'!C79)=FALSE,"",'Sektorski plasman'!C79)</f>
        <v>12</v>
      </c>
      <c r="D47" s="297" t="str">
        <f>IF(ISNONTEXT('Sektorski plasman'!D79)=TRUE,"",'Sektorski plasman'!D79)</f>
        <v>Ivan Finek</v>
      </c>
      <c r="E47" s="298"/>
      <c r="F47" s="298" t="str">
        <f>IF(ISNONTEXT('Sektorski plasman'!E79)=TRUE,"",'Sektorski plasman'!E79)</f>
        <v>Jez Jasenovac</v>
      </c>
      <c r="G47" s="338"/>
    </row>
    <row r="48" spans="1:7" ht="12.75">
      <c r="A48" s="337">
        <f>IF(ISNUMBER('Sektorski plasman'!A78)=FALSE,"",'Sektorski plasman'!A78)</f>
        <v>1</v>
      </c>
      <c r="B48" s="462">
        <f>IF(ISNUMBER('Sektorski plasman'!B78)=FALSE,"",'Sektorski plasman'!B78)</f>
        <v>5000</v>
      </c>
      <c r="C48" s="320">
        <f>IF(ISNUMBER('Sektorski plasman'!C78)=FALSE,"",'Sektorski plasman'!C78)</f>
        <v>1</v>
      </c>
      <c r="D48" s="297" t="str">
        <f>IF(ISNONTEXT('Sektorski plasman'!D78)=TRUE,"",'Sektorski plasman'!D78)</f>
        <v>Ivan Kovač</v>
      </c>
      <c r="E48" s="298"/>
      <c r="F48" s="298" t="str">
        <f>IF(ISNONTEXT('Sektorski plasman'!E78)=TRUE,"",'Sektorski plasman'!E78)</f>
        <v>Korana Karlovac</v>
      </c>
      <c r="G48" s="338"/>
    </row>
    <row r="49" spans="1:7" ht="12.75">
      <c r="A49" s="337"/>
      <c r="B49" s="320"/>
      <c r="C49" s="320"/>
      <c r="D49" s="297"/>
      <c r="E49" s="298"/>
      <c r="F49" s="298"/>
      <c r="G49" s="338"/>
    </row>
    <row r="50" spans="1:7" ht="12.75">
      <c r="A50" s="339"/>
      <c r="B50" s="321"/>
      <c r="C50" s="321"/>
      <c r="D50" s="293"/>
      <c r="E50" s="294"/>
      <c r="F50" s="294"/>
      <c r="G50" s="340"/>
    </row>
    <row r="51" spans="1:7" ht="12.75">
      <c r="A51" s="467"/>
      <c r="B51" s="467"/>
      <c r="C51" s="467"/>
      <c r="D51" s="467"/>
      <c r="E51" s="467"/>
      <c r="F51" s="467"/>
      <c r="G51" s="467"/>
    </row>
    <row r="52" spans="1:7" ht="12.75">
      <c r="A52" s="403"/>
      <c r="B52" s="296"/>
      <c r="C52" s="296"/>
      <c r="D52" s="296"/>
      <c r="E52" s="296"/>
      <c r="F52" s="296"/>
      <c r="G52" s="336"/>
    </row>
    <row r="53" spans="1:7" ht="15.75">
      <c r="A53" s="393" t="s">
        <v>111</v>
      </c>
      <c r="B53" s="320"/>
      <c r="C53" s="400"/>
      <c r="D53" s="298"/>
      <c r="E53" s="298"/>
      <c r="F53" s="298"/>
      <c r="G53" s="338"/>
    </row>
    <row r="54" spans="1:7" ht="15.75" customHeight="1">
      <c r="A54" s="401"/>
      <c r="B54" s="298"/>
      <c r="C54" s="320"/>
      <c r="D54" s="384"/>
      <c r="E54" s="298"/>
      <c r="F54" s="298"/>
      <c r="G54" s="338"/>
    </row>
    <row r="55" spans="1:7" ht="12.75" customHeight="1">
      <c r="A55" s="390" t="s">
        <v>257</v>
      </c>
      <c r="B55" s="387" t="s">
        <v>268</v>
      </c>
      <c r="C55" s="388" t="s">
        <v>102</v>
      </c>
      <c r="D55" s="388" t="s">
        <v>22</v>
      </c>
      <c r="E55" s="511" t="s">
        <v>21</v>
      </c>
      <c r="F55" s="511"/>
      <c r="G55" s="512"/>
    </row>
    <row r="56" spans="1:7" ht="12.75">
      <c r="A56" s="337">
        <f>IF(ISNUMBER(A18)=FALSE,"",'Pojedinačni plasman'!G8)</f>
        <v>1</v>
      </c>
      <c r="B56" s="320">
        <f>IF(ISNUMBER(B18)=FALSE,"",'Pojedinačni plasman'!E8)</f>
        <v>1</v>
      </c>
      <c r="C56" s="462">
        <f>IF(ISNUMBER(B18)=FALSE,"",'Pojedinačni plasman'!F8)</f>
        <v>5000</v>
      </c>
      <c r="D56" s="341" t="str">
        <f>IF(ISNONTEXT(D18)=TRUE,"",'Pojedinačni plasman'!A8)</f>
        <v>Hrvoje Kovač</v>
      </c>
      <c r="E56" s="298"/>
      <c r="F56" s="298" t="str">
        <f>IF(ISNONTEXT(F18)=TRUE,"",'Pojedinačni plasman'!B8)</f>
        <v>Korana Karlovac</v>
      </c>
      <c r="G56" s="338"/>
    </row>
    <row r="57" spans="1:10" ht="12.75">
      <c r="A57" s="337">
        <f>IF(ISNUMBER(A19)=FALSE,"",'Pojedinačni plasman'!G7)</f>
        <v>1</v>
      </c>
      <c r="B57" s="320">
        <f>IF(ISNUMBER(B19)=FALSE,"",'Pojedinačni plasman'!E7)</f>
        <v>1</v>
      </c>
      <c r="C57" s="462">
        <f>IF(ISNUMBER(B19)=FALSE,"",'Pojedinačni plasman'!F7)</f>
        <v>5000</v>
      </c>
      <c r="D57" s="341" t="str">
        <f>IF(ISNONTEXT(D19)=TRUE,"",'Pojedinačni plasman'!A7)</f>
        <v>Damir Jauševac</v>
      </c>
      <c r="E57" s="298"/>
      <c r="F57" s="298" t="str">
        <f>IF(ISNONTEXT(F19)=TRUE,"",'Pojedinačni plasman'!B7)</f>
        <v>Korana Karlovac</v>
      </c>
      <c r="G57" s="338"/>
      <c r="J57" s="16">
        <f>B20</f>
        <v>5000</v>
      </c>
    </row>
    <row r="58" spans="1:10" ht="12.75">
      <c r="A58" s="337">
        <f>IF(ISNUMBER(A20)=FALSE,"",'Pojedinačni plasman'!G6)</f>
        <v>1</v>
      </c>
      <c r="B58" s="320">
        <f>IF(ISNUMBER(B20)=FALSE,"",'Pojedinačni plasman'!E6)</f>
        <v>1</v>
      </c>
      <c r="C58" s="462">
        <f>IF(ISNUMBER(B20)=FALSE,"",'Pojedinačni plasman'!F6)</f>
        <v>5000</v>
      </c>
      <c r="D58" s="341" t="str">
        <f>IF(ISNONTEXT(D20)=TRUE,"",'Pojedinačni plasman'!A6)</f>
        <v>Ivan Kovač</v>
      </c>
      <c r="E58" s="298"/>
      <c r="F58" s="298" t="str">
        <f>IF(ISNONTEXT(F20)=TRUE,"",'Pojedinačni plasman'!B6)</f>
        <v>Korana Karlovac</v>
      </c>
      <c r="G58" s="338"/>
      <c r="J58" s="16">
        <f>B27</f>
        <v>5000</v>
      </c>
    </row>
    <row r="59" spans="1:10" ht="12.75">
      <c r="A59" s="392"/>
      <c r="B59" s="298"/>
      <c r="C59" s="320"/>
      <c r="D59" s="298"/>
      <c r="E59" s="298"/>
      <c r="F59" s="298"/>
      <c r="G59" s="338"/>
      <c r="J59" s="16">
        <f>B34</f>
        <v>5000</v>
      </c>
    </row>
    <row r="60" spans="1:10" ht="15.75">
      <c r="A60" s="393" t="s">
        <v>112</v>
      </c>
      <c r="B60" s="298"/>
      <c r="C60" s="298"/>
      <c r="D60" s="298"/>
      <c r="E60" s="298"/>
      <c r="F60" s="298"/>
      <c r="G60" s="338"/>
      <c r="J60" s="16">
        <f>B41</f>
        <v>5000</v>
      </c>
    </row>
    <row r="61" spans="1:7" ht="15.75">
      <c r="A61" s="393"/>
      <c r="B61" s="298"/>
      <c r="C61" s="298"/>
      <c r="D61" s="298"/>
      <c r="E61" s="298"/>
      <c r="F61" s="298"/>
      <c r="G61" s="338"/>
    </row>
    <row r="62" spans="1:10" ht="12.75" customHeight="1">
      <c r="A62" s="390" t="s">
        <v>257</v>
      </c>
      <c r="B62" s="510" t="s">
        <v>274</v>
      </c>
      <c r="C62" s="510"/>
      <c r="D62" s="510"/>
      <c r="E62" s="387" t="s">
        <v>102</v>
      </c>
      <c r="F62" s="387" t="s">
        <v>269</v>
      </c>
      <c r="G62" s="402" t="s">
        <v>270</v>
      </c>
      <c r="H62" s="344"/>
      <c r="J62" s="16">
        <f>B48</f>
        <v>5000</v>
      </c>
    </row>
    <row r="63" spans="1:8" ht="12.75">
      <c r="A63" s="337">
        <f>IF(ISNUMBER('Ekipni plasman'!F8)=FALSE,"",'Ekipni plasman'!F8)</f>
        <v>3</v>
      </c>
      <c r="B63" s="297" t="str">
        <f>IF(ISNONTEXT('Ekipni plasman'!B8)=TRUE,"",'Ekipni plasman'!B8)</f>
        <v>Ilova Garešnica</v>
      </c>
      <c r="C63" s="298"/>
      <c r="D63" s="298"/>
      <c r="E63" s="320">
        <f>IF(ISNUMBER('Ekipni plasman'!C8)=FALSE,"",'Ekipni plasman'!C8)</f>
        <v>28</v>
      </c>
      <c r="F63" s="463">
        <f>IF(ISNUMBER('Ekipni plasman'!D8)=FALSE,"",'Ekipni plasman'!D8)</f>
        <v>9860</v>
      </c>
      <c r="G63" s="464">
        <f>IF(ISNUMBER('Ekipni plasman'!E8)=FALSE,"",'Ekipni plasman'!E8)</f>
        <v>2800</v>
      </c>
      <c r="H63" s="343"/>
    </row>
    <row r="64" spans="1:8" ht="12.75">
      <c r="A64" s="337">
        <f>IF(ISNUMBER('Ekipni plasman'!F7)=FALSE,"",'Ekipni plasman'!F7)</f>
        <v>2</v>
      </c>
      <c r="B64" s="297" t="str">
        <f>IF(ISNONTEXT('Ekipni plasman'!B7)=TRUE,"",'Ekipni plasman'!B7)</f>
        <v>Jez Jasenovac</v>
      </c>
      <c r="C64" s="298"/>
      <c r="D64" s="298"/>
      <c r="E64" s="320">
        <f>IF(ISNUMBER('Ekipni plasman'!C7)=FALSE,"",'Ekipni plasman'!C7)</f>
        <v>17</v>
      </c>
      <c r="F64" s="463">
        <f>IF(ISNUMBER('Ekipni plasman'!D7)=FALSE,"",'Ekipni plasman'!D7)</f>
        <v>16650</v>
      </c>
      <c r="G64" s="464">
        <f>IF(ISNUMBER('Ekipni plasman'!E7)=FALSE,"",'Ekipni plasman'!E7)</f>
        <v>4500</v>
      </c>
      <c r="H64" s="342"/>
    </row>
    <row r="65" spans="1:8" ht="12.75">
      <c r="A65" s="337">
        <f>IF(ISNUMBER('Ekipni plasman'!F6)=FALSE,"",'Ekipni plasman'!F6)</f>
        <v>1</v>
      </c>
      <c r="B65" s="297" t="str">
        <f>IF(ISNONTEXT('Ekipni plasman'!B6)=TRUE,"",'Ekipni plasman'!B6)</f>
        <v>Korana Karlovac</v>
      </c>
      <c r="C65" s="298"/>
      <c r="D65" s="298"/>
      <c r="E65" s="320">
        <f>IF(ISNUMBER('Ekipni plasman'!C6)=FALSE,"",'Ekipni plasman'!C6)</f>
        <v>5</v>
      </c>
      <c r="F65" s="463">
        <f>IF(ISNUMBER('Ekipni plasman'!D6)=FALSE,"",'Ekipni plasman'!D6)</f>
        <v>25000</v>
      </c>
      <c r="G65" s="464">
        <f>IF(ISNUMBER('Ekipni plasman'!E6)=FALSE,"",'Ekipni plasman'!E6)</f>
        <v>5000</v>
      </c>
      <c r="H65" s="343"/>
    </row>
    <row r="66" spans="1:7" ht="12.75">
      <c r="A66" s="404"/>
      <c r="B66" s="294"/>
      <c r="C66" s="294"/>
      <c r="D66" s="294"/>
      <c r="E66" s="294"/>
      <c r="F66" s="294"/>
      <c r="G66" s="340"/>
    </row>
    <row r="105" spans="1:7" ht="12.75">
      <c r="A105" s="134"/>
      <c r="B105" s="134"/>
      <c r="C105" s="134"/>
      <c r="D105" s="134"/>
      <c r="E105" s="134"/>
      <c r="F105" s="134"/>
      <c r="G105" s="134"/>
    </row>
  </sheetData>
  <sheetProtection password="C7E2" sheet="1" objects="1" scenarios="1"/>
  <mergeCells count="7">
    <mergeCell ref="B62:D62"/>
    <mergeCell ref="E31:G31"/>
    <mergeCell ref="E24:G24"/>
    <mergeCell ref="E17:G17"/>
    <mergeCell ref="E55:G55"/>
    <mergeCell ref="E45:G45"/>
    <mergeCell ref="E38:G38"/>
  </mergeCells>
  <printOptions horizontalCentered="1"/>
  <pageMargins left="0.984251968503937" right="0.984251968503937" top="0.984251968503937" bottom="1.6141732283464567" header="0.5118110236220472" footer="0.5118110236220472"/>
  <pageSetup horizontalDpi="300" verticalDpi="300" orientation="portrait" paperSize="9" r:id="rId4"/>
  <headerFooter alignWithMargins="0">
    <oddFooter>&amp;L&amp;"Arial,Kurziv"&amp;12&amp;YProglašenje rezultata&amp;C&amp;"Arial,Kurziv"&amp;12&amp;XProgram za izračun rezultata i provođenje natjecanja&amp;R&amp;"Arial,Kurziv"&amp;12&amp;YStranica &amp;P</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Sheet18">
    <tabColor indexed="51"/>
  </sheetPr>
  <dimension ref="A1:Y90"/>
  <sheetViews>
    <sheetView showRowColHeaders="0" zoomScalePageLayoutView="0" workbookViewId="0" topLeftCell="A1">
      <selection activeCell="J20" sqref="J20"/>
    </sheetView>
  </sheetViews>
  <sheetFormatPr defaultColWidth="9.140625" defaultRowHeight="12.75"/>
  <cols>
    <col min="1" max="1" width="10.8515625" style="6" customWidth="1"/>
    <col min="2" max="2" width="9.140625" style="6" customWidth="1"/>
    <col min="3" max="3" width="13.140625" style="6" customWidth="1"/>
    <col min="4" max="4" width="9.421875" style="6" customWidth="1"/>
    <col min="5" max="5" width="10.7109375" style="6" customWidth="1"/>
    <col min="6" max="6" width="8.28125" style="6" customWidth="1"/>
    <col min="7" max="7" width="10.7109375" style="6" customWidth="1"/>
    <col min="8" max="8" width="9.57421875" style="6" customWidth="1"/>
    <col min="9" max="16384" width="9.140625" style="6" customWidth="1"/>
  </cols>
  <sheetData>
    <row r="1" spans="1:8" ht="12.75">
      <c r="A1" s="250" t="s">
        <v>248</v>
      </c>
      <c r="B1" s="251"/>
      <c r="C1" s="308"/>
      <c r="D1" s="301" t="str">
        <f>IF(ISNONTEXT('Organizacija natjecanja'!$H$2)=TRUE,"",'Organizacija natjecanja'!$H$2)</f>
        <v>KUP "BLJESAK"</v>
      </c>
      <c r="E1" s="254"/>
      <c r="F1" s="254"/>
      <c r="G1" s="308"/>
      <c r="H1" s="368"/>
    </row>
    <row r="2" spans="1:8" ht="12.75">
      <c r="A2" s="256" t="s">
        <v>249</v>
      </c>
      <c r="B2" s="257"/>
      <c r="C2" s="310"/>
      <c r="D2" s="302" t="str">
        <f>IF(ISNONTEXT('Organizacija natjecanja'!$H$5)=TRUE,"",'Organizacija natjecanja'!$H$5)</f>
        <v>Lipik, 28.04.2009.g.</v>
      </c>
      <c r="E2" s="258"/>
      <c r="F2" s="261"/>
      <c r="G2" s="310"/>
      <c r="H2" s="369"/>
    </row>
    <row r="3" spans="1:9" ht="12.75">
      <c r="A3" s="256" t="s">
        <v>250</v>
      </c>
      <c r="B3" s="257"/>
      <c r="C3" s="310"/>
      <c r="D3" s="261" t="str">
        <f>IF(ISNONTEXT('Organizacija natjecanja'!$H$7)=TRUE,"",'Organizacija natjecanja'!$H$7)</f>
        <v>ŠRS Požeško slavonske županije</v>
      </c>
      <c r="E3" s="263"/>
      <c r="F3" s="263"/>
      <c r="G3" s="310"/>
      <c r="H3" s="369"/>
      <c r="I3" s="8"/>
    </row>
    <row r="4" spans="1:9" ht="12.75">
      <c r="A4" s="256" t="s">
        <v>251</v>
      </c>
      <c r="B4" s="257"/>
      <c r="C4" s="310"/>
      <c r="D4" s="261" t="str">
        <f>IF(ISNONTEXT('Organizacija natjecanja'!$H$13)=TRUE,"",'Organizacija natjecanja'!$H$13)</f>
        <v>ŠRD Pakrac Pakrac</v>
      </c>
      <c r="E4" s="263"/>
      <c r="F4" s="263"/>
      <c r="G4" s="310"/>
      <c r="H4" s="369"/>
      <c r="I4" s="8"/>
    </row>
    <row r="5" spans="1:9" ht="12.75">
      <c r="A5" s="256" t="s">
        <v>252</v>
      </c>
      <c r="B5" s="257"/>
      <c r="C5" s="310"/>
      <c r="D5" s="261" t="str">
        <f>IF(ISNONTEXT('Organizacija natjecanja'!$H$4)=TRUE,"",'Organizacija natjecanja'!$H$4)</f>
        <v>Jezero Raminac</v>
      </c>
      <c r="E5" s="263"/>
      <c r="F5" s="263"/>
      <c r="G5" s="310"/>
      <c r="H5" s="369"/>
      <c r="I5" s="8"/>
    </row>
    <row r="6" spans="1:8" ht="12.75">
      <c r="A6" s="256"/>
      <c r="B6" s="257"/>
      <c r="C6" s="310"/>
      <c r="D6" s="261"/>
      <c r="E6" s="263"/>
      <c r="F6" s="263"/>
      <c r="G6" s="310"/>
      <c r="H6" s="369"/>
    </row>
    <row r="7" spans="1:8" ht="14.25" customHeight="1">
      <c r="A7" s="265" t="s">
        <v>113</v>
      </c>
      <c r="B7" s="266"/>
      <c r="C7" s="313"/>
      <c r="D7" s="267" t="str">
        <f>IF(ISBLANK('Organizacija natjecanja'!$H$9)=TRUE,"",'Organizacija natjecanja'!$H$9)</f>
        <v>SENIORI</v>
      </c>
      <c r="E7" s="269"/>
      <c r="F7" s="269"/>
      <c r="G7" s="313"/>
      <c r="H7" s="370"/>
    </row>
    <row r="8" spans="1:8" ht="12.75">
      <c r="A8" s="378"/>
      <c r="B8" s="289"/>
      <c r="C8" s="290"/>
      <c r="D8" s="291"/>
      <c r="E8" s="292"/>
      <c r="F8" s="292"/>
      <c r="G8" s="8"/>
      <c r="H8" s="8"/>
    </row>
    <row r="9" spans="1:8" ht="12.75">
      <c r="A9" s="379"/>
      <c r="B9" s="251"/>
      <c r="C9" s="252"/>
      <c r="D9" s="253"/>
      <c r="E9" s="254"/>
      <c r="F9" s="254"/>
      <c r="G9" s="308"/>
      <c r="H9" s="368"/>
    </row>
    <row r="10" spans="1:8" ht="15.75">
      <c r="A10" s="405" t="s">
        <v>114</v>
      </c>
      <c r="B10" s="406"/>
      <c r="C10" s="310"/>
      <c r="D10" s="327"/>
      <c r="E10" s="310"/>
      <c r="F10" s="310"/>
      <c r="G10" s="310"/>
      <c r="H10" s="369"/>
    </row>
    <row r="11" spans="1:8" ht="12.75">
      <c r="A11" s="371"/>
      <c r="B11" s="310"/>
      <c r="C11" s="310"/>
      <c r="D11" s="310"/>
      <c r="E11" s="310"/>
      <c r="F11" s="310"/>
      <c r="G11" s="310"/>
      <c r="H11" s="369"/>
    </row>
    <row r="12" spans="1:8" ht="12.75">
      <c r="A12" s="371" t="s">
        <v>92</v>
      </c>
      <c r="B12" s="310"/>
      <c r="C12" s="310"/>
      <c r="D12" s="399">
        <f>COUNTA('Prijava ekipa i izvlačenje br.'!C2:C36)</f>
        <v>12</v>
      </c>
      <c r="E12" s="310" t="s">
        <v>93</v>
      </c>
      <c r="F12" s="399">
        <f>(COUNTA('Pojedinačni plasman'!A6:A65)-COUNTIF('Pojedinačni plasman'!A6:A65,""))</f>
        <v>60</v>
      </c>
      <c r="G12" s="310" t="s">
        <v>166</v>
      </c>
      <c r="H12" s="407">
        <f>COUNTIF('Žiri natjecanja'!C32:C43,"kapetan")</f>
        <v>5</v>
      </c>
    </row>
    <row r="13" spans="1:8" ht="12.75">
      <c r="A13" s="371" t="s">
        <v>95</v>
      </c>
      <c r="B13" s="327"/>
      <c r="C13" s="327">
        <f>IF(ISBLANK('Organizacija natjecanja'!$H$40)=TRUE,"",'Organizacija natjecanja'!$H$40)</f>
        <v>8</v>
      </c>
      <c r="D13" s="310" t="s">
        <v>96</v>
      </c>
      <c r="E13" s="310" t="s">
        <v>97</v>
      </c>
      <c r="F13" s="389">
        <f>F12+H12+C13</f>
        <v>73</v>
      </c>
      <c r="G13" s="310" t="s">
        <v>98</v>
      </c>
      <c r="H13" s="369"/>
    </row>
    <row r="14" spans="1:8" ht="12.75">
      <c r="A14" s="371"/>
      <c r="B14" s="310"/>
      <c r="C14" s="310"/>
      <c r="D14" s="310"/>
      <c r="E14" s="310"/>
      <c r="F14" s="310"/>
      <c r="G14" s="310"/>
      <c r="H14" s="369"/>
    </row>
    <row r="15" spans="1:8" ht="15.75">
      <c r="A15" s="405" t="s">
        <v>115</v>
      </c>
      <c r="B15" s="310"/>
      <c r="C15" s="310"/>
      <c r="D15" s="310"/>
      <c r="E15" s="310"/>
      <c r="F15" s="310"/>
      <c r="G15" s="310"/>
      <c r="H15" s="369"/>
    </row>
    <row r="16" spans="1:8" ht="12.75">
      <c r="A16" s="408"/>
      <c r="B16" s="310"/>
      <c r="C16" s="310"/>
      <c r="D16" s="310"/>
      <c r="E16" s="310"/>
      <c r="F16" s="310"/>
      <c r="G16" s="310"/>
      <c r="H16" s="369"/>
    </row>
    <row r="17" spans="1:8" ht="12.75">
      <c r="A17" s="392" t="s">
        <v>238</v>
      </c>
      <c r="B17" s="310"/>
      <c r="C17" s="310"/>
      <c r="D17" s="310"/>
      <c r="E17" s="310"/>
      <c r="F17" s="409">
        <f>IF(('Prijava ekipa i izvlačenje br.'!C2)="","",SUM(SUM('Upis rezultata A sektora'!F2:F13),SUM('Upis rezultata B sektora'!F2:F13),SUM('Upis rezultata C sektora'!F2:F13),SUM('Upis rezultata D sektora'!F2:F13),SUM('Upis rezultata E sektora'!F2:F13)))</f>
        <v>125410</v>
      </c>
      <c r="G17" s="310"/>
      <c r="H17" s="369"/>
    </row>
    <row r="18" spans="1:8" ht="12.75">
      <c r="A18" s="392" t="s">
        <v>239</v>
      </c>
      <c r="B18" s="310"/>
      <c r="C18" s="310"/>
      <c r="D18" s="310"/>
      <c r="E18" s="310"/>
      <c r="F18" s="410">
        <f>IF(('Prijava ekipa i izvlačenje br.'!C2)="","",MAX(U24,U32,U38,U46,U54))</f>
        <v>5000</v>
      </c>
      <c r="G18" s="310"/>
      <c r="H18" s="369"/>
    </row>
    <row r="19" spans="1:8" ht="12.75">
      <c r="A19" s="392" t="s">
        <v>240</v>
      </c>
      <c r="B19" s="310"/>
      <c r="C19" s="310"/>
      <c r="D19" s="310"/>
      <c r="E19" s="310"/>
      <c r="F19" s="410">
        <f>IF(('Prijava ekipa i izvlačenje br.'!C2)="","",MIN(U25,U33,U39,U47,U55))</f>
        <v>475</v>
      </c>
      <c r="G19" s="310"/>
      <c r="H19" s="369"/>
    </row>
    <row r="20" spans="1:8" ht="12.75">
      <c r="A20" s="392" t="s">
        <v>241</v>
      </c>
      <c r="B20" s="310"/>
      <c r="C20" s="310"/>
      <c r="D20" s="310"/>
      <c r="E20" s="310"/>
      <c r="F20" s="410">
        <f>IF(('Prijava ekipa i izvlačenje br.'!C2)="","",AVERAGE('Upis rezultata A sektora'!F2:F13,'Upis rezultata B sektora'!F2:F13,'Upis rezultata C sektora'!F2:F13,'Upis rezultata D sektora'!F2:F13,'Upis rezultata E sektora'!F2:F13))</f>
        <v>2090.1666666666665</v>
      </c>
      <c r="G20" s="310"/>
      <c r="H20" s="369"/>
    </row>
    <row r="21" spans="1:19" ht="15.75">
      <c r="A21" s="392" t="s">
        <v>242</v>
      </c>
      <c r="B21" s="310"/>
      <c r="C21" s="310"/>
      <c r="D21" s="310"/>
      <c r="E21" s="310"/>
      <c r="F21" s="310">
        <f>IF(('Prijava ekipa i izvlačenje br.'!C2)="","",U27+U35+U41+U49+U57)</f>
        <v>0</v>
      </c>
      <c r="G21" s="310"/>
      <c r="H21" s="369"/>
      <c r="S21" s="83" t="s">
        <v>106</v>
      </c>
    </row>
    <row r="22" spans="1:8" ht="12.75">
      <c r="A22" s="392"/>
      <c r="B22" s="310"/>
      <c r="C22" s="310"/>
      <c r="D22" s="310"/>
      <c r="E22" s="310"/>
      <c r="F22" s="310"/>
      <c r="G22" s="310"/>
      <c r="H22" s="369"/>
    </row>
    <row r="23" spans="1:24" ht="15.75">
      <c r="A23" s="371"/>
      <c r="B23" s="310"/>
      <c r="C23" s="310"/>
      <c r="D23" s="310"/>
      <c r="E23" s="310"/>
      <c r="F23" s="310"/>
      <c r="G23" s="310"/>
      <c r="H23" s="369"/>
      <c r="S23" s="6" t="s">
        <v>243</v>
      </c>
      <c r="U23" s="66">
        <f>IF(('Prijava ekipa i izvlačenje br.'!C2)="","",SUM('Upis rezultata A sektora'!F2:F13))</f>
        <v>25443</v>
      </c>
      <c r="W23" s="121"/>
      <c r="X23" s="83"/>
    </row>
    <row r="24" spans="1:21" ht="12.75">
      <c r="A24" s="371"/>
      <c r="B24" s="310"/>
      <c r="C24" s="310"/>
      <c r="D24" s="310"/>
      <c r="E24" s="310"/>
      <c r="F24" s="310"/>
      <c r="G24" s="310"/>
      <c r="H24" s="369"/>
      <c r="S24" s="6" t="s">
        <v>244</v>
      </c>
      <c r="U24" s="67">
        <f>IF(('Prijava ekipa i izvlačenje br.'!C2)="","",MAX('Upis rezultata A sektora'!F2:F13))</f>
        <v>5000</v>
      </c>
    </row>
    <row r="25" spans="1:21" ht="12.75">
      <c r="A25" s="371"/>
      <c r="B25" s="310"/>
      <c r="C25" s="310"/>
      <c r="D25" s="310"/>
      <c r="E25" s="310"/>
      <c r="F25" s="310"/>
      <c r="G25" s="310"/>
      <c r="H25" s="369"/>
      <c r="S25" s="6" t="s">
        <v>245</v>
      </c>
      <c r="U25" s="67">
        <f>IF(('Prijava ekipa i izvlačenje br.'!C2)="","",MIN('Upis rezultata A sektora'!F2:F13))</f>
        <v>475</v>
      </c>
    </row>
    <row r="26" spans="1:21" ht="12.75">
      <c r="A26" s="371"/>
      <c r="B26" s="310"/>
      <c r="C26" s="310"/>
      <c r="D26" s="310"/>
      <c r="E26" s="310"/>
      <c r="F26" s="310"/>
      <c r="G26" s="310"/>
      <c r="H26" s="369"/>
      <c r="S26" s="6" t="s">
        <v>246</v>
      </c>
      <c r="U26" s="67">
        <f>IF(('Prijava ekipa i izvlačenje br.'!C2)="","",AVERAGE('Upis rezultata A sektora'!F2:F13))</f>
        <v>2120.25</v>
      </c>
    </row>
    <row r="27" spans="1:21" ht="12.75">
      <c r="A27" s="371"/>
      <c r="B27" s="310"/>
      <c r="C27" s="310"/>
      <c r="D27" s="310"/>
      <c r="E27" s="310"/>
      <c r="F27" s="310"/>
      <c r="G27" s="310"/>
      <c r="H27" s="369"/>
      <c r="S27" s="6" t="s">
        <v>247</v>
      </c>
      <c r="U27" s="6">
        <f>IF(('Prijava ekipa i izvlačenje br.'!C2)="","",COUNTIF('Upis rezultata A sektora'!F2:F13,0))</f>
        <v>0</v>
      </c>
    </row>
    <row r="28" spans="1:8" ht="12.75">
      <c r="A28" s="371"/>
      <c r="B28" s="310"/>
      <c r="C28" s="310"/>
      <c r="D28" s="310"/>
      <c r="E28" s="310"/>
      <c r="F28" s="310"/>
      <c r="G28" s="310"/>
      <c r="H28" s="369"/>
    </row>
    <row r="29" spans="1:19" ht="15.75">
      <c r="A29" s="371"/>
      <c r="B29" s="310"/>
      <c r="C29" s="310"/>
      <c r="D29" s="310"/>
      <c r="E29" s="310"/>
      <c r="F29" s="310"/>
      <c r="G29" s="310"/>
      <c r="H29" s="369"/>
      <c r="S29" s="83" t="s">
        <v>107</v>
      </c>
    </row>
    <row r="30" spans="1:8" ht="12.75">
      <c r="A30" s="371"/>
      <c r="B30" s="310"/>
      <c r="C30" s="310"/>
      <c r="D30" s="310"/>
      <c r="E30" s="310"/>
      <c r="F30" s="310"/>
      <c r="G30" s="310"/>
      <c r="H30" s="369"/>
    </row>
    <row r="31" spans="1:24" ht="15.75">
      <c r="A31" s="371"/>
      <c r="B31" s="310"/>
      <c r="C31" s="310"/>
      <c r="D31" s="310"/>
      <c r="E31" s="310"/>
      <c r="F31" s="310"/>
      <c r="G31" s="310"/>
      <c r="H31" s="369"/>
      <c r="S31" s="6" t="s">
        <v>243</v>
      </c>
      <c r="U31" s="66">
        <f>IF(('Prijava ekipa i izvlačenje br.'!C2)="","",SUM('Upis rezultata B sektora'!F2:F13))</f>
        <v>26628</v>
      </c>
      <c r="W31" s="121"/>
      <c r="X31" s="83"/>
    </row>
    <row r="32" spans="1:21" ht="12.75">
      <c r="A32" s="371"/>
      <c r="B32" s="310"/>
      <c r="C32" s="310"/>
      <c r="D32" s="310"/>
      <c r="E32" s="310"/>
      <c r="F32" s="310"/>
      <c r="G32" s="310"/>
      <c r="H32" s="369"/>
      <c r="S32" s="6" t="s">
        <v>244</v>
      </c>
      <c r="U32" s="67">
        <f>IF(('Prijava ekipa i izvlačenje br.'!C2)="","",MAX('Upis rezultata B sektora'!F2:F13))</f>
        <v>5000</v>
      </c>
    </row>
    <row r="33" spans="1:21" ht="12.75">
      <c r="A33" s="371"/>
      <c r="B33" s="310"/>
      <c r="C33" s="310"/>
      <c r="D33" s="310"/>
      <c r="E33" s="310"/>
      <c r="F33" s="310"/>
      <c r="G33" s="310"/>
      <c r="H33" s="369"/>
      <c r="S33" s="6" t="s">
        <v>245</v>
      </c>
      <c r="U33" s="67">
        <f>IF(('Prijava ekipa i izvlačenje br.'!C2)="","",MIN('Upis rezultata B sektora'!F2:F13))</f>
        <v>1004</v>
      </c>
    </row>
    <row r="34" spans="1:21" ht="12.75">
      <c r="A34" s="371"/>
      <c r="B34" s="310"/>
      <c r="C34" s="310"/>
      <c r="D34" s="310"/>
      <c r="E34" s="310"/>
      <c r="F34" s="310"/>
      <c r="G34" s="310"/>
      <c r="H34" s="369"/>
      <c r="S34" s="6" t="s">
        <v>246</v>
      </c>
      <c r="U34" s="67">
        <f>IF(('Prijava ekipa i izvlačenje br.'!C2)="","",AVERAGE('Upis rezultata B sektora'!F2:F13))</f>
        <v>2219</v>
      </c>
    </row>
    <row r="35" spans="1:21" ht="12.75">
      <c r="A35" s="371"/>
      <c r="B35" s="310"/>
      <c r="C35" s="310"/>
      <c r="D35" s="310"/>
      <c r="E35" s="310"/>
      <c r="F35" s="310"/>
      <c r="G35" s="310"/>
      <c r="H35" s="369"/>
      <c r="S35" s="6" t="s">
        <v>247</v>
      </c>
      <c r="U35" s="6">
        <f>IF(('Prijava ekipa i izvlačenje br.'!C2)="","",COUNTIF('Upis rezultata B sektora'!F2:F13,0))</f>
        <v>0</v>
      </c>
    </row>
    <row r="36" spans="1:19" ht="15.75">
      <c r="A36" s="371"/>
      <c r="B36" s="310"/>
      <c r="C36" s="310"/>
      <c r="D36" s="310"/>
      <c r="E36" s="310"/>
      <c r="F36" s="310"/>
      <c r="G36" s="310"/>
      <c r="H36" s="369"/>
      <c r="S36" s="83" t="s">
        <v>108</v>
      </c>
    </row>
    <row r="37" spans="1:24" ht="15.75">
      <c r="A37" s="371"/>
      <c r="B37" s="310"/>
      <c r="C37" s="310"/>
      <c r="D37" s="310"/>
      <c r="E37" s="310"/>
      <c r="F37" s="310"/>
      <c r="G37" s="310"/>
      <c r="H37" s="369"/>
      <c r="S37" s="6" t="s">
        <v>243</v>
      </c>
      <c r="U37" s="66">
        <f>IF(('Prijava ekipa i izvlačenje br.'!C2)="","",SUM('Upis rezultata C sektora'!F2:F13))</f>
        <v>26452</v>
      </c>
      <c r="V37" s="7"/>
      <c r="W37" s="121"/>
      <c r="X37" s="83"/>
    </row>
    <row r="38" spans="1:21" ht="12.75">
      <c r="A38" s="371"/>
      <c r="B38" s="310"/>
      <c r="C38" s="310"/>
      <c r="D38" s="310"/>
      <c r="E38" s="310"/>
      <c r="F38" s="310"/>
      <c r="G38" s="310"/>
      <c r="H38" s="369"/>
      <c r="S38" s="6" t="s">
        <v>244</v>
      </c>
      <c r="U38" s="67">
        <f>IF(('Prijava ekipa i izvlačenje br.'!C2)="","",MAX('Upis rezultata C sektora'!F2:F13))</f>
        <v>5000</v>
      </c>
    </row>
    <row r="39" spans="1:21" ht="12.75">
      <c r="A39" s="371"/>
      <c r="B39" s="310"/>
      <c r="C39" s="310"/>
      <c r="D39" s="310"/>
      <c r="E39" s="310"/>
      <c r="F39" s="310"/>
      <c r="G39" s="310"/>
      <c r="H39" s="369"/>
      <c r="S39" s="6" t="s">
        <v>245</v>
      </c>
      <c r="U39" s="67">
        <f>IF(('Prijava ekipa i izvlačenje br.'!C2)="","",MIN('Upis rezultata C sektora'!F2:F13))</f>
        <v>608</v>
      </c>
    </row>
    <row r="40" spans="1:21" ht="12.75">
      <c r="A40" s="371"/>
      <c r="B40" s="310"/>
      <c r="C40" s="310"/>
      <c r="D40" s="310"/>
      <c r="E40" s="310"/>
      <c r="F40" s="310"/>
      <c r="G40" s="310"/>
      <c r="H40" s="369"/>
      <c r="S40" s="6" t="s">
        <v>246</v>
      </c>
      <c r="U40" s="67">
        <f>IF(('Prijava ekipa i izvlačenje br.'!C2)="","",AVERAGE('Upis rezultata C sektora'!F2:F13))</f>
        <v>2204.3333333333335</v>
      </c>
    </row>
    <row r="41" spans="1:25" ht="12.75">
      <c r="A41" s="371"/>
      <c r="B41" s="310"/>
      <c r="C41" s="310"/>
      <c r="D41" s="310"/>
      <c r="E41" s="310"/>
      <c r="F41" s="310"/>
      <c r="G41" s="310"/>
      <c r="H41" s="369"/>
      <c r="S41" s="26" t="s">
        <v>247</v>
      </c>
      <c r="T41" s="26"/>
      <c r="U41" s="26">
        <f>IF(('Prijava ekipa i izvlačenje br.'!C2)="","",COUNTIF('Upis rezultata C sektora'!F2:F13,0))</f>
        <v>0</v>
      </c>
      <c r="V41" s="26"/>
      <c r="W41" s="26"/>
      <c r="X41" s="26"/>
      <c r="Y41" s="26"/>
    </row>
    <row r="42" spans="1:8" ht="12.75">
      <c r="A42" s="371"/>
      <c r="B42" s="310"/>
      <c r="C42" s="310"/>
      <c r="D42" s="310"/>
      <c r="E42" s="310"/>
      <c r="F42" s="310"/>
      <c r="G42" s="310"/>
      <c r="H42" s="369"/>
    </row>
    <row r="43" spans="1:19" ht="15.75">
      <c r="A43" s="371"/>
      <c r="B43" s="310"/>
      <c r="C43" s="310"/>
      <c r="D43" s="310"/>
      <c r="E43" s="310"/>
      <c r="F43" s="310"/>
      <c r="G43" s="310"/>
      <c r="H43" s="369"/>
      <c r="S43" s="83" t="s">
        <v>109</v>
      </c>
    </row>
    <row r="44" spans="1:8" ht="12.75">
      <c r="A44" s="371"/>
      <c r="B44" s="310"/>
      <c r="C44" s="310"/>
      <c r="D44" s="310"/>
      <c r="E44" s="310"/>
      <c r="F44" s="310"/>
      <c r="G44" s="310"/>
      <c r="H44" s="369"/>
    </row>
    <row r="45" spans="1:24" ht="15.75">
      <c r="A45" s="371"/>
      <c r="B45" s="310"/>
      <c r="C45" s="310"/>
      <c r="D45" s="310"/>
      <c r="E45" s="310"/>
      <c r="F45" s="310"/>
      <c r="G45" s="310"/>
      <c r="H45" s="369"/>
      <c r="S45" s="6" t="s">
        <v>243</v>
      </c>
      <c r="U45" s="66">
        <f>IF(('Prijava ekipa i izvlačenje br.'!C2)="","",SUM('Upis rezultata D sektora'!F2:F13))</f>
        <v>24001</v>
      </c>
      <c r="V45" s="7"/>
      <c r="W45" s="121"/>
      <c r="X45" s="83"/>
    </row>
    <row r="46" spans="1:21" ht="12.75">
      <c r="A46" s="371"/>
      <c r="B46" s="310"/>
      <c r="C46" s="310"/>
      <c r="D46" s="310"/>
      <c r="E46" s="310"/>
      <c r="F46" s="310"/>
      <c r="G46" s="310"/>
      <c r="H46" s="369"/>
      <c r="S46" s="6" t="s">
        <v>244</v>
      </c>
      <c r="U46" s="67">
        <f>IF(('Prijava ekipa i izvlačenje br.'!C2)="","",MAX('Upis rezultata D sektora'!F2:F13))</f>
        <v>5000</v>
      </c>
    </row>
    <row r="47" spans="1:21" ht="12.75">
      <c r="A47" s="371"/>
      <c r="B47" s="310"/>
      <c r="C47" s="310"/>
      <c r="D47" s="310"/>
      <c r="E47" s="310"/>
      <c r="F47" s="310"/>
      <c r="G47" s="310"/>
      <c r="H47" s="369"/>
      <c r="S47" s="6" t="s">
        <v>245</v>
      </c>
      <c r="U47" s="67">
        <f>IF(('Prijava ekipa i izvlačenje br.'!C2)="","",MIN('Upis rezultata D sektora'!F2:F13))</f>
        <v>480</v>
      </c>
    </row>
    <row r="48" spans="1:21" ht="12.75">
      <c r="A48" s="371"/>
      <c r="B48" s="310"/>
      <c r="C48" s="310"/>
      <c r="D48" s="310"/>
      <c r="E48" s="310"/>
      <c r="F48" s="310"/>
      <c r="G48" s="310"/>
      <c r="H48" s="369"/>
      <c r="S48" s="6" t="s">
        <v>246</v>
      </c>
      <c r="U48" s="67">
        <f>IF(('Prijava ekipa i izvlačenje br.'!C2)="","",AVERAGE('Upis rezultata D sektora'!F2:F13))</f>
        <v>2000.0833333333333</v>
      </c>
    </row>
    <row r="49" spans="1:21" ht="12.75">
      <c r="A49" s="371"/>
      <c r="B49" s="310"/>
      <c r="C49" s="310"/>
      <c r="D49" s="310"/>
      <c r="E49" s="310"/>
      <c r="F49" s="310"/>
      <c r="G49" s="310"/>
      <c r="H49" s="369"/>
      <c r="S49" s="6" t="s">
        <v>247</v>
      </c>
      <c r="U49" s="6">
        <f>IF(('Prijava ekipa i izvlačenje br.'!C2)="","",COUNTIF('Upis rezultata D sektora'!F2:F13,0))</f>
        <v>0</v>
      </c>
    </row>
    <row r="50" spans="1:8" ht="12.75">
      <c r="A50" s="371"/>
      <c r="B50" s="310"/>
      <c r="C50" s="310"/>
      <c r="D50" s="310"/>
      <c r="E50" s="310"/>
      <c r="F50" s="310"/>
      <c r="G50" s="310"/>
      <c r="H50" s="369"/>
    </row>
    <row r="51" spans="1:19" ht="15.75">
      <c r="A51" s="371"/>
      <c r="B51" s="310"/>
      <c r="C51" s="310"/>
      <c r="D51" s="310"/>
      <c r="E51" s="310"/>
      <c r="F51" s="310"/>
      <c r="G51" s="310"/>
      <c r="H51" s="369"/>
      <c r="S51" s="83" t="s">
        <v>110</v>
      </c>
    </row>
    <row r="52" spans="1:8" ht="12.75">
      <c r="A52" s="371"/>
      <c r="B52" s="310"/>
      <c r="C52" s="310"/>
      <c r="D52" s="310"/>
      <c r="E52" s="310"/>
      <c r="F52" s="310"/>
      <c r="G52" s="310"/>
      <c r="H52" s="369"/>
    </row>
    <row r="53" spans="1:24" ht="15.75">
      <c r="A53" s="377"/>
      <c r="B53" s="313"/>
      <c r="C53" s="313"/>
      <c r="D53" s="313"/>
      <c r="E53" s="313"/>
      <c r="F53" s="313"/>
      <c r="G53" s="313"/>
      <c r="H53" s="370"/>
      <c r="S53" s="6" t="s">
        <v>243</v>
      </c>
      <c r="U53" s="66">
        <f>IF(('Prijava ekipa i izvlačenje br.'!C2)="","",SUM('Upis rezultata E sektora'!F2:F13))</f>
        <v>22886</v>
      </c>
      <c r="V53" s="7"/>
      <c r="W53" s="121"/>
      <c r="X53" s="83"/>
    </row>
    <row r="54" spans="19:21" ht="12.75">
      <c r="S54" s="6" t="s">
        <v>244</v>
      </c>
      <c r="U54" s="67">
        <f>IF(('Prijava ekipa i izvlačenje br.'!C2)="","",MAX('Upis rezultata E sektora'!F2:F13))</f>
        <v>5000</v>
      </c>
    </row>
    <row r="55" spans="19:21" ht="12.75">
      <c r="S55" s="6" t="s">
        <v>245</v>
      </c>
      <c r="U55" s="67">
        <f>IF(('Prijava ekipa i izvlačenje br.'!C2)="","",MIN('Upis rezultata E sektora'!F2:F13))</f>
        <v>1045</v>
      </c>
    </row>
    <row r="56" spans="19:21" ht="12.75">
      <c r="S56" s="6" t="s">
        <v>246</v>
      </c>
      <c r="U56" s="67">
        <f>IF(('Prijava ekipa i izvlačenje br.'!C2)="","",AVERAGE('Upis rezultata E sektora'!F2:F13))</f>
        <v>1907.1666666666667</v>
      </c>
    </row>
    <row r="57" spans="19:21" ht="12.75">
      <c r="S57" s="6" t="s">
        <v>247</v>
      </c>
      <c r="U57" s="6">
        <f>IF(('Prijava ekipa i izvlačenje br.'!C2)="","",COUNTIF('Upis rezultata E sektora'!F2:F13,0))</f>
        <v>0</v>
      </c>
    </row>
    <row r="61" spans="21:25" ht="12.75">
      <c r="U61" s="6" t="s">
        <v>30</v>
      </c>
      <c r="V61" s="6" t="s">
        <v>28</v>
      </c>
      <c r="W61" s="6" t="s">
        <v>26</v>
      </c>
      <c r="X61" s="6" t="s">
        <v>33</v>
      </c>
      <c r="Y61" s="6" t="s">
        <v>32</v>
      </c>
    </row>
    <row r="62" spans="19:25" ht="12.75">
      <c r="S62" s="6" t="s">
        <v>243</v>
      </c>
      <c r="U62" s="67">
        <f>U23</f>
        <v>25443</v>
      </c>
      <c r="V62" s="67">
        <f>U31</f>
        <v>26628</v>
      </c>
      <c r="W62" s="67">
        <f>U37</f>
        <v>26452</v>
      </c>
      <c r="X62" s="67">
        <f>U45</f>
        <v>24001</v>
      </c>
      <c r="Y62" s="67">
        <f>U53</f>
        <v>22886</v>
      </c>
    </row>
    <row r="63" spans="19:25" ht="12.75">
      <c r="S63" s="6" t="s">
        <v>244</v>
      </c>
      <c r="U63" s="67">
        <f>U24</f>
        <v>5000</v>
      </c>
      <c r="V63" s="67">
        <f>U32</f>
        <v>5000</v>
      </c>
      <c r="W63" s="67">
        <f>U38</f>
        <v>5000</v>
      </c>
      <c r="X63" s="67">
        <f>U46</f>
        <v>5000</v>
      </c>
      <c r="Y63" s="67">
        <f>U54</f>
        <v>5000</v>
      </c>
    </row>
    <row r="64" spans="19:25" ht="12.75">
      <c r="S64" s="6" t="s">
        <v>245</v>
      </c>
      <c r="U64" s="67">
        <f>U25</f>
        <v>475</v>
      </c>
      <c r="V64" s="67">
        <f>U33</f>
        <v>1004</v>
      </c>
      <c r="W64" s="67">
        <f>U39</f>
        <v>608</v>
      </c>
      <c r="X64" s="67">
        <f>U47</f>
        <v>480</v>
      </c>
      <c r="Y64" s="67">
        <f>U55</f>
        <v>1045</v>
      </c>
    </row>
    <row r="65" spans="19:25" ht="12.75">
      <c r="S65" s="6" t="s">
        <v>246</v>
      </c>
      <c r="U65" s="67">
        <f>U26</f>
        <v>2120.25</v>
      </c>
      <c r="V65" s="67">
        <f>U34</f>
        <v>2219</v>
      </c>
      <c r="W65" s="67">
        <f>U40</f>
        <v>2204.3333333333335</v>
      </c>
      <c r="X65" s="67">
        <f>U48</f>
        <v>2000.0833333333333</v>
      </c>
      <c r="Y65" s="67">
        <f>U56</f>
        <v>1907.1666666666667</v>
      </c>
    </row>
    <row r="66" spans="19:25" ht="12.75">
      <c r="S66" s="6" t="s">
        <v>247</v>
      </c>
      <c r="U66" s="67">
        <f>U27</f>
        <v>0</v>
      </c>
      <c r="V66" s="67">
        <f>U35</f>
        <v>0</v>
      </c>
      <c r="W66" s="67">
        <f>U41</f>
        <v>0</v>
      </c>
      <c r="X66" s="67">
        <f>U49</f>
        <v>0</v>
      </c>
      <c r="Y66" s="67">
        <f>U57</f>
        <v>0</v>
      </c>
    </row>
    <row r="90" spans="1:8" ht="12.75">
      <c r="A90" s="26"/>
      <c r="B90" s="26"/>
      <c r="C90" s="26"/>
      <c r="D90" s="26"/>
      <c r="E90" s="26"/>
      <c r="F90" s="26"/>
      <c r="G90" s="26"/>
      <c r="H90" s="26"/>
    </row>
  </sheetData>
  <sheetProtection password="C822" sheet="1" objects="1" scenarios="1"/>
  <printOptions horizontalCentered="1"/>
  <pageMargins left="0.984251968503937" right="0.984251968503937" top="0.7874015748031497" bottom="1.0236220472440944" header="0.5905511811023623" footer="0.5511811023622047"/>
  <pageSetup horizontalDpi="300" verticalDpi="300" orientation="portrait" paperSize="9" r:id="rId4"/>
  <headerFooter alignWithMargins="0">
    <oddFooter>&amp;C&amp;"Arial,Kurziv"&amp;12&amp;YProgram za izračun rezultata i provođenje natjecanja</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Sheet25">
    <tabColor indexed="51"/>
  </sheetPr>
  <dimension ref="A1:T14"/>
  <sheetViews>
    <sheetView showRowColHeaders="0" zoomScale="48" zoomScaleNormal="48" zoomScalePageLayoutView="0" workbookViewId="0" topLeftCell="A1">
      <selection activeCell="T3" sqref="T3"/>
    </sheetView>
  </sheetViews>
  <sheetFormatPr defaultColWidth="9.140625" defaultRowHeight="12.75"/>
  <cols>
    <col min="1" max="1" width="9.28125" style="130" customWidth="1"/>
    <col min="2" max="2" width="22.8515625" style="6" customWidth="1"/>
    <col min="3" max="3" width="20.421875" style="6" customWidth="1"/>
    <col min="4" max="4" width="10.28125" style="6" customWidth="1"/>
    <col min="5" max="5" width="20.421875" style="6" customWidth="1"/>
    <col min="6" max="6" width="10.421875" style="6" customWidth="1"/>
    <col min="7" max="7" width="20.421875" style="6" customWidth="1"/>
    <col min="8" max="8" width="10.421875" style="6" customWidth="1"/>
    <col min="9" max="9" width="20.421875" style="6" customWidth="1"/>
    <col min="10" max="10" width="10.421875" style="6" customWidth="1"/>
    <col min="11" max="11" width="20.421875" style="6" customWidth="1"/>
    <col min="12" max="12" width="10.421875" style="6" customWidth="1"/>
    <col min="13" max="13" width="15.57421875" style="68" customWidth="1"/>
    <col min="14" max="14" width="15.57421875" style="197" customWidth="1"/>
    <col min="15" max="15" width="18.7109375" style="68" customWidth="1"/>
    <col min="16" max="19" width="9.140625" style="68" customWidth="1"/>
    <col min="20" max="20" width="11.00390625" style="68" customWidth="1"/>
    <col min="21" max="16384" width="9.140625" style="6" customWidth="1"/>
  </cols>
  <sheetData>
    <row r="1" spans="1:20" s="72" customFormat="1" ht="20.25">
      <c r="A1" s="131"/>
      <c r="M1" s="68"/>
      <c r="N1" s="197"/>
      <c r="O1" s="68"/>
      <c r="P1" s="68"/>
      <c r="Q1" s="68"/>
      <c r="R1" s="68"/>
      <c r="S1" s="68"/>
      <c r="T1" s="68"/>
    </row>
    <row r="2" spans="1:18" s="116" customFormat="1" ht="34.5" customHeight="1">
      <c r="A2" s="240" t="s">
        <v>117</v>
      </c>
      <c r="B2" s="239" t="s">
        <v>103</v>
      </c>
      <c r="C2" s="513" t="s">
        <v>106</v>
      </c>
      <c r="D2" s="514"/>
      <c r="E2" s="513" t="s">
        <v>107</v>
      </c>
      <c r="F2" s="514"/>
      <c r="G2" s="513" t="s">
        <v>108</v>
      </c>
      <c r="H2" s="514"/>
      <c r="I2" s="513" t="s">
        <v>109</v>
      </c>
      <c r="J2" s="514"/>
      <c r="K2" s="513" t="s">
        <v>110</v>
      </c>
      <c r="L2" s="514"/>
      <c r="M2" s="241"/>
      <c r="N2" s="242"/>
      <c r="O2" s="241"/>
      <c r="P2" s="241"/>
      <c r="Q2" s="241"/>
      <c r="R2" s="243"/>
    </row>
    <row r="3" spans="1:20" s="72" customFormat="1" ht="84" customHeight="1">
      <c r="A3" s="234">
        <v>1</v>
      </c>
      <c r="B3" s="235" t="str">
        <f>IF(ISBLANK('Prijava ekipa i izvlačenje br.'!C2)=TRUE,"",'Prijava ekipa i izvlačenje br.'!C2)</f>
        <v>Korana Karlovac</v>
      </c>
      <c r="C3" s="236" t="str">
        <f>IF(COUNTIF('Prijava ekipa i izvlačenje br.'!$E2,"A")=1,'Prijava ekipa i izvlačenje br.'!$D2,IF(COUNTIF('Prijava ekipa i izvlačenje br.'!$H2,"A")=1,'Prijava ekipa i izvlačenje br.'!$G2,IF(COUNTIF('Prijava ekipa i izvlačenje br.'!$K2,"A")=1,'Prijava ekipa i izvlačenje br.'!$J2,IF(COUNTIF('Prijava ekipa i izvlačenje br.'!$N2,"A")=1,'Prijava ekipa i izvlačenje br.'!$M2,IF(COUNTIF('Prijava ekipa i izvlačenje br.'!$Q2,"A")=1,'Prijava ekipa i izvlačenje br.'!$P2,"")))))</f>
        <v>Elvis Šinko</v>
      </c>
      <c r="D3" s="237">
        <f>IF(ISBLANK('Upis rezultata A sektora'!F2)=TRUE,"",'Upis rezultata A sektora'!F2)</f>
        <v>5000</v>
      </c>
      <c r="E3" s="238" t="str">
        <f>IF(COUNTIF('Prijava ekipa i izvlačenje br.'!$E2,"B")=1,'Prijava ekipa i izvlačenje br.'!$D2,IF(COUNTIF('Prijava ekipa i izvlačenje br.'!$H2,"B")=1,'Prijava ekipa i izvlačenje br.'!$G2,IF(COUNTIF('Prijava ekipa i izvlačenje br.'!$K2,"B")=1,'Prijava ekipa i izvlačenje br.'!$J2,IF(COUNTIF('Prijava ekipa i izvlačenje br.'!$N2,"B")=1,'Prijava ekipa i izvlačenje br.'!$M2,IF(COUNTIF('Prijava ekipa i izvlačenje br.'!$Q2,"B")=1,'Prijava ekipa i izvlačenje br.'!$P2,"")))))</f>
        <v>Nenad Viboh</v>
      </c>
      <c r="F3" s="237">
        <f>IF(ISBLANK('Upis rezultata B sektora'!F2)=TRUE,"",'Upis rezultata B sektora'!F2)</f>
        <v>5000</v>
      </c>
      <c r="G3" s="238" t="str">
        <f>IF(COUNTIF('Prijava ekipa i izvlačenje br.'!$E2,"C")=1,'Prijava ekipa i izvlačenje br.'!$D2,IF(COUNTIF('Prijava ekipa i izvlačenje br.'!$H2,"C")=1,'Prijava ekipa i izvlačenje br.'!$G2,IF(COUNTIF('Prijava ekipa i izvlačenje br.'!$K2,"C")=1,'Prijava ekipa i izvlačenje br.'!$J2,IF(COUNTIF('Prijava ekipa i izvlačenje br.'!$N2,"C")=1,'Prijava ekipa i izvlačenje br.'!$M2,IF(COUNTIF('Prijava ekipa i izvlačenje br.'!$Q2,"C")=1,'Prijava ekipa i izvlačenje br.'!$P2,"")))))</f>
        <v>Hrvoje Kovač</v>
      </c>
      <c r="H3" s="237">
        <f>IF(ISBLANK('Upis rezultata C sektora'!F2)=TRUE,"",'Upis rezultata C sektora'!F2)</f>
        <v>5000</v>
      </c>
      <c r="I3" s="238" t="str">
        <f>IF(COUNTIF('Prijava ekipa i izvlačenje br.'!$E2,"D")=1,'Prijava ekipa i izvlačenje br.'!$D2,IF(COUNTIF('Prijava ekipa i izvlačenje br.'!$H2,"D")=1,'Prijava ekipa i izvlačenje br.'!$G2,IF(COUNTIF('Prijava ekipa i izvlačenje br.'!$K2,"D")=1,'Prijava ekipa i izvlačenje br.'!$J2,IF(COUNTIF('Prijava ekipa i izvlačenje br.'!$N2,"D")=1,'Prijava ekipa i izvlačenje br.'!$M2,IF(COUNTIF('Prijava ekipa i izvlačenje br.'!$Q2,"D")=1,'Prijava ekipa i izvlačenje br.'!$P2,"")))))</f>
        <v>Damir Jauševac</v>
      </c>
      <c r="J3" s="237">
        <f>IF(ISBLANK('Upis rezultata D sektora'!F2)=TRUE,"",'Upis rezultata D sektora'!F2)</f>
        <v>5000</v>
      </c>
      <c r="K3" s="238" t="str">
        <f>IF(COUNTIF('Prijava ekipa i izvlačenje br.'!$E2,"E")=1,'Prijava ekipa i izvlačenje br.'!$D2,IF(COUNTIF('Prijava ekipa i izvlačenje br.'!$H2,"E")=1,'Prijava ekipa i izvlačenje br.'!$G2,IF(COUNTIF('Prijava ekipa i izvlačenje br.'!$K2,"E")=1,'Prijava ekipa i izvlačenje br.'!$J2,IF(COUNTIF('Prijava ekipa i izvlačenje br.'!$N2,"E")=1,'Prijava ekipa i izvlačenje br.'!$M2,IF(COUNTIF('Prijava ekipa i izvlačenje br.'!$Q2,"E")=1,'Prijava ekipa i izvlačenje br.'!$P2,"")))))</f>
        <v>Ivan Kovač</v>
      </c>
      <c r="L3" s="237">
        <f>IF(ISBLANK('Upis rezultata E sektora'!F2)=TRUE,"",'Upis rezultata E sektora'!F2)</f>
        <v>5000</v>
      </c>
      <c r="M3" s="244"/>
      <c r="N3" s="245"/>
      <c r="O3" s="90"/>
      <c r="P3" s="90"/>
      <c r="Q3" s="90"/>
      <c r="R3" s="91"/>
      <c r="S3" s="68"/>
      <c r="T3" s="68"/>
    </row>
    <row r="4" spans="1:20" s="72" customFormat="1" ht="84" customHeight="1">
      <c r="A4" s="234">
        <v>2</v>
      </c>
      <c r="B4" s="235" t="str">
        <f>IF(ISBLANK('Prijava ekipa i izvlačenje br.'!C3)=TRUE,"",'Prijava ekipa i izvlačenje br.'!C3)</f>
        <v>Štuka Torčec</v>
      </c>
      <c r="C4" s="236" t="str">
        <f>IF(COUNTIF('Prijava ekipa i izvlačenje br.'!$E3,"A")=1,'Prijava ekipa i izvlačenje br.'!$D3,IF(COUNTIF('Prijava ekipa i izvlačenje br.'!$H3,"A")=1,'Prijava ekipa i izvlačenje br.'!$G3,IF(COUNTIF('Prijava ekipa i izvlačenje br.'!$K3,"A")=1,'Prijava ekipa i izvlačenje br.'!$J3,IF(COUNTIF('Prijava ekipa i izvlačenje br.'!$N3,"A")=1,'Prijava ekipa i izvlačenje br.'!$M3,IF(COUNTIF('Prijava ekipa i izvlačenje br.'!$Q3,"A")=1,'Prijava ekipa i izvlačenje br.'!$P3,"")))))</f>
        <v>Goran Štargl</v>
      </c>
      <c r="D4" s="237">
        <f>IF(ISBLANK('Upis rezultata A sektora'!F3)=TRUE,"",'Upis rezultata A sektora'!F3)</f>
        <v>4235</v>
      </c>
      <c r="E4" s="238" t="str">
        <f>IF(COUNTIF('Prijava ekipa i izvlačenje br.'!$E3,"B")=1,'Prijava ekipa i izvlačenje br.'!$D3,IF(COUNTIF('Prijava ekipa i izvlačenje br.'!$H3,"B")=1,'Prijava ekipa i izvlačenje br.'!$G3,IF(COUNTIF('Prijava ekipa i izvlačenje br.'!$K3,"B")=1,'Prijava ekipa i izvlačenje br.'!$J3,IF(COUNTIF('Prijava ekipa i izvlačenje br.'!$N3,"B")=1,'Prijava ekipa i izvlačenje br.'!$M3,IF(COUNTIF('Prijava ekipa i izvlačenje br.'!$Q3,"B")=1,'Prijava ekipa i izvlačenje br.'!$P3,"")))))</f>
        <v>Goran Matijašić</v>
      </c>
      <c r="F4" s="237">
        <f>IF(ISBLANK('Upis rezultata B sektora'!F3)=TRUE,"",'Upis rezultata B sektora'!F3)</f>
        <v>2536</v>
      </c>
      <c r="G4" s="238" t="str">
        <f>IF(COUNTIF('Prijava ekipa i izvlačenje br.'!$E3,"C")=1,'Prijava ekipa i izvlačenje br.'!$D3,IF(COUNTIF('Prijava ekipa i izvlačenje br.'!$H3,"C")=1,'Prijava ekipa i izvlačenje br.'!$G3,IF(COUNTIF('Prijava ekipa i izvlačenje br.'!$K3,"C")=1,'Prijava ekipa i izvlačenje br.'!$J3,IF(COUNTIF('Prijava ekipa i izvlačenje br.'!$N3,"C")=1,'Prijava ekipa i izvlačenje br.'!$M3,IF(COUNTIF('Prijava ekipa i izvlačenje br.'!$Q3,"C")=1,'Prijava ekipa i izvlačenje br.'!$P3,"")))))</f>
        <v>Danijel Picer</v>
      </c>
      <c r="H4" s="237">
        <f>IF(ISBLANK('Upis rezultata C sektora'!F3)=TRUE,"",'Upis rezultata C sektora'!F3)</f>
        <v>1354</v>
      </c>
      <c r="I4" s="238" t="str">
        <f>IF(COUNTIF('Prijava ekipa i izvlačenje br.'!$E3,"D")=1,'Prijava ekipa i izvlačenje br.'!$D3,IF(COUNTIF('Prijava ekipa i izvlačenje br.'!$H3,"D")=1,'Prijava ekipa i izvlačenje br.'!$G3,IF(COUNTIF('Prijava ekipa i izvlačenje br.'!$K3,"D")=1,'Prijava ekipa i izvlačenje br.'!$J3,IF(COUNTIF('Prijava ekipa i izvlačenje br.'!$N3,"D")=1,'Prijava ekipa i izvlačenje br.'!$M3,IF(COUNTIF('Prijava ekipa i izvlačenje br.'!$Q3,"D")=1,'Prijava ekipa i izvlačenje br.'!$P3,"")))))</f>
        <v>Hrvoje Horvat</v>
      </c>
      <c r="J4" s="237">
        <f>IF(ISBLANK('Upis rezultata D sektora'!F3)=TRUE,"",'Upis rezultata D sektora'!F3)</f>
        <v>1098</v>
      </c>
      <c r="K4" s="238" t="str">
        <f>IF(COUNTIF('Prijava ekipa i izvlačenje br.'!$E3,"E")=1,'Prijava ekipa i izvlačenje br.'!$D3,IF(COUNTIF('Prijava ekipa i izvlačenje br.'!$H3,"E")=1,'Prijava ekipa i izvlačenje br.'!$G3,IF(COUNTIF('Prijava ekipa i izvlačenje br.'!$K3,"E")=1,'Prijava ekipa i izvlačenje br.'!$J3,IF(COUNTIF('Prijava ekipa i izvlačenje br.'!$N3,"E")=1,'Prijava ekipa i izvlačenje br.'!$M3,IF(COUNTIF('Prijava ekipa i izvlačenje br.'!$Q3,"E")=1,'Prijava ekipa i izvlačenje br.'!$P3,"")))))</f>
        <v>Saša Mustač</v>
      </c>
      <c r="L4" s="237">
        <f>IF(ISBLANK('Upis rezultata E sektora'!F3)=TRUE,"",'Upis rezultata E sektora'!F3)</f>
        <v>1045</v>
      </c>
      <c r="M4" s="244"/>
      <c r="N4" s="245"/>
      <c r="O4" s="90"/>
      <c r="P4" s="90"/>
      <c r="Q4" s="90"/>
      <c r="R4" s="91"/>
      <c r="S4" s="68"/>
      <c r="T4" s="68"/>
    </row>
    <row r="5" spans="1:20" s="72" customFormat="1" ht="84" customHeight="1">
      <c r="A5" s="234">
        <v>3</v>
      </c>
      <c r="B5" s="235" t="str">
        <f>IF(ISBLANK('Prijava ekipa i izvlačenje br.'!C4)=TRUE,"",'Prijava ekipa i izvlačenje br.'!C4)</f>
        <v>Rak Rakitje</v>
      </c>
      <c r="C5" s="236" t="str">
        <f>IF(COUNTIF('Prijava ekipa i izvlačenje br.'!$E4,"A")=1,'Prijava ekipa i izvlačenje br.'!$D4,IF(COUNTIF('Prijava ekipa i izvlačenje br.'!$H4,"A")=1,'Prijava ekipa i izvlačenje br.'!$G4,IF(COUNTIF('Prijava ekipa i izvlačenje br.'!$K4,"A")=1,'Prijava ekipa i izvlačenje br.'!$J4,IF(COUNTIF('Prijava ekipa i izvlačenje br.'!$N4,"A")=1,'Prijava ekipa i izvlačenje br.'!$M4,IF(COUNTIF('Prijava ekipa i izvlačenje br.'!$Q4,"A")=1,'Prijava ekipa i izvlačenje br.'!$P4,"")))))</f>
        <v>Mladen Kečkeš</v>
      </c>
      <c r="D5" s="237">
        <f>IF(ISBLANK('Upis rezultata A sektora'!F4)=TRUE,"",'Upis rezultata A sektora'!F4)</f>
        <v>2978</v>
      </c>
      <c r="E5" s="238" t="str">
        <f>IF(COUNTIF('Prijava ekipa i izvlačenje br.'!$E4,"B")=1,'Prijava ekipa i izvlačenje br.'!$D4,IF(COUNTIF('Prijava ekipa i izvlačenje br.'!$H4,"B")=1,'Prijava ekipa i izvlačenje br.'!$G4,IF(COUNTIF('Prijava ekipa i izvlačenje br.'!$K4,"B")=1,'Prijava ekipa i izvlačenje br.'!$J4,IF(COUNTIF('Prijava ekipa i izvlačenje br.'!$N4,"B")=1,'Prijava ekipa i izvlačenje br.'!$M4,IF(COUNTIF('Prijava ekipa i izvlačenje br.'!$Q4,"B")=1,'Prijava ekipa i izvlačenje br.'!$P4,"")))))</f>
        <v>Martin Vrčković</v>
      </c>
      <c r="F5" s="237">
        <f>IF(ISBLANK('Upis rezultata B sektora'!F4)=TRUE,"",'Upis rezultata B sektora'!F4)</f>
        <v>2452</v>
      </c>
      <c r="G5" s="238" t="str">
        <f>IF(COUNTIF('Prijava ekipa i izvlačenje br.'!$E4,"C")=1,'Prijava ekipa i izvlačenje br.'!$D4,IF(COUNTIF('Prijava ekipa i izvlačenje br.'!$H4,"C")=1,'Prijava ekipa i izvlačenje br.'!$G4,IF(COUNTIF('Prijava ekipa i izvlačenje br.'!$K4,"C")=1,'Prijava ekipa i izvlačenje br.'!$J4,IF(COUNTIF('Prijava ekipa i izvlačenje br.'!$N4,"C")=1,'Prijava ekipa i izvlačenje br.'!$M4,IF(COUNTIF('Prijava ekipa i izvlačenje br.'!$Q4,"C")=1,'Prijava ekipa i izvlačenje br.'!$P4,"")))))</f>
        <v>Stjepan Gorički</v>
      </c>
      <c r="H5" s="237">
        <f>IF(ISBLANK('Upis rezultata C sektora'!F4)=TRUE,"",'Upis rezultata C sektora'!F4)</f>
        <v>4740</v>
      </c>
      <c r="I5" s="238" t="str">
        <f>IF(COUNTIF('Prijava ekipa i izvlačenje br.'!$E4,"D")=1,'Prijava ekipa i izvlačenje br.'!$D4,IF(COUNTIF('Prijava ekipa i izvlačenje br.'!$H4,"D")=1,'Prijava ekipa i izvlačenje br.'!$G4,IF(COUNTIF('Prijava ekipa i izvlačenje br.'!$K4,"D")=1,'Prijava ekipa i izvlačenje br.'!$J4,IF(COUNTIF('Prijava ekipa i izvlačenje br.'!$N4,"D")=1,'Prijava ekipa i izvlačenje br.'!$M4,IF(COUNTIF('Prijava ekipa i izvlačenje br.'!$Q4,"D")=1,'Prijava ekipa i izvlačenje br.'!$P4,"")))))</f>
        <v>Zlatko Novačić</v>
      </c>
      <c r="J5" s="237">
        <f>IF(ISBLANK('Upis rezultata D sektora'!F4)=TRUE,"",'Upis rezultata D sektora'!F4)</f>
        <v>1256</v>
      </c>
      <c r="K5" s="238" t="str">
        <f>IF(COUNTIF('Prijava ekipa i izvlačenje br.'!$E4,"E")=1,'Prijava ekipa i izvlačenje br.'!$D4,IF(COUNTIF('Prijava ekipa i izvlačenje br.'!$H4,"E")=1,'Prijava ekipa i izvlačenje br.'!$G4,IF(COUNTIF('Prijava ekipa i izvlačenje br.'!$K4,"E")=1,'Prijava ekipa i izvlačenje br.'!$J4,IF(COUNTIF('Prijava ekipa i izvlačenje br.'!$N4,"E")=1,'Prijava ekipa i izvlačenje br.'!$M4,IF(COUNTIF('Prijava ekipa i izvlačenje br.'!$Q4,"E")=1,'Prijava ekipa i izvlačenje br.'!$P4,"")))))</f>
        <v>Zlatko Auker</v>
      </c>
      <c r="L5" s="237">
        <f>IF(ISBLANK('Upis rezultata E sektora'!F4)=TRUE,"",'Upis rezultata E sektora'!F4)</f>
        <v>1256</v>
      </c>
      <c r="M5" s="244"/>
      <c r="N5" s="245"/>
      <c r="O5" s="90"/>
      <c r="P5" s="90"/>
      <c r="Q5" s="90"/>
      <c r="R5" s="91"/>
      <c r="S5" s="68"/>
      <c r="T5" s="68"/>
    </row>
    <row r="6" spans="1:20" s="72" customFormat="1" ht="84" customHeight="1">
      <c r="A6" s="234">
        <v>4</v>
      </c>
      <c r="B6" s="235" t="str">
        <f>IF(ISBLANK('Prijava ekipa i izvlačenje br.'!C5)=TRUE,"",'Prijava ekipa i izvlačenje br.'!C5)</f>
        <v>Bjelovar Bjelovar</v>
      </c>
      <c r="C6" s="236" t="str">
        <f>IF(COUNTIF('Prijava ekipa i izvlačenje br.'!$E5,"A")=1,'Prijava ekipa i izvlačenje br.'!$D5,IF(COUNTIF('Prijava ekipa i izvlačenje br.'!$H5,"A")=1,'Prijava ekipa i izvlačenje br.'!$G5,IF(COUNTIF('Prijava ekipa i izvlačenje br.'!$K5,"A")=1,'Prijava ekipa i izvlačenje br.'!$J5,IF(COUNTIF('Prijava ekipa i izvlačenje br.'!$N5,"A")=1,'Prijava ekipa i izvlačenje br.'!$M5,IF(COUNTIF('Prijava ekipa i izvlačenje br.'!$Q5,"A")=1,'Prijava ekipa i izvlačenje br.'!$P5,"")))))</f>
        <v>Emil Lukman</v>
      </c>
      <c r="D6" s="237">
        <f>IF(ISBLANK('Upis rezultata A sektora'!F5)=TRUE,"",'Upis rezultata A sektora'!F5)</f>
        <v>905</v>
      </c>
      <c r="E6" s="238" t="str">
        <f>IF(COUNTIF('Prijava ekipa i izvlačenje br.'!$E5,"B")=1,'Prijava ekipa i izvlačenje br.'!$D5,IF(COUNTIF('Prijava ekipa i izvlačenje br.'!$H5,"B")=1,'Prijava ekipa i izvlačenje br.'!$G5,IF(COUNTIF('Prijava ekipa i izvlačenje br.'!$K5,"B")=1,'Prijava ekipa i izvlačenje br.'!$J5,IF(COUNTIF('Prijava ekipa i izvlačenje br.'!$N5,"B")=1,'Prijava ekipa i izvlačenje br.'!$M5,IF(COUNTIF('Prijava ekipa i izvlačenje br.'!$Q5,"B")=1,'Prijava ekipa i izvlačenje br.'!$P5,"")))))</f>
        <v>Vladimir Šuker</v>
      </c>
      <c r="F6" s="237">
        <f>IF(ISBLANK('Upis rezultata B sektora'!F5)=TRUE,"",'Upis rezultata B sektora'!F5)</f>
        <v>2320</v>
      </c>
      <c r="G6" s="238" t="str">
        <f>IF(COUNTIF('Prijava ekipa i izvlačenje br.'!$E5,"C")=1,'Prijava ekipa i izvlačenje br.'!$D5,IF(COUNTIF('Prijava ekipa i izvlačenje br.'!$H5,"C")=1,'Prijava ekipa i izvlačenje br.'!$G5,IF(COUNTIF('Prijava ekipa i izvlačenje br.'!$K5,"C")=1,'Prijava ekipa i izvlačenje br.'!$J5,IF(COUNTIF('Prijava ekipa i izvlačenje br.'!$N5,"C")=1,'Prijava ekipa i izvlačenje br.'!$M5,IF(COUNTIF('Prijava ekipa i izvlačenje br.'!$Q5,"C")=1,'Prijava ekipa i izvlačenje br.'!$P5,"")))))</f>
        <v>Ivo Begović</v>
      </c>
      <c r="H6" s="237">
        <f>IF(ISBLANK('Upis rezultata C sektora'!F5)=TRUE,"",'Upis rezultata C sektora'!F5)</f>
        <v>670</v>
      </c>
      <c r="I6" s="238" t="str">
        <f>IF(COUNTIF('Prijava ekipa i izvlačenje br.'!$E5,"D")=1,'Prijava ekipa i izvlačenje br.'!$D5,IF(COUNTIF('Prijava ekipa i izvlačenje br.'!$H5,"D")=1,'Prijava ekipa i izvlačenje br.'!$G5,IF(COUNTIF('Prijava ekipa i izvlačenje br.'!$K5,"D")=1,'Prijava ekipa i izvlačenje br.'!$J5,IF(COUNTIF('Prijava ekipa i izvlačenje br.'!$N5,"D")=1,'Prijava ekipa i izvlačenje br.'!$M5,IF(COUNTIF('Prijava ekipa i izvlačenje br.'!$Q5,"D")=1,'Prijava ekipa i izvlačenje br.'!$P5,"")))))</f>
        <v>Marijan Jurić</v>
      </c>
      <c r="J6" s="237">
        <f>IF(ISBLANK('Upis rezultata D sektora'!F5)=TRUE,"",'Upis rezultata D sektora'!F5)</f>
        <v>1325</v>
      </c>
      <c r="K6" s="238" t="str">
        <f>IF(COUNTIF('Prijava ekipa i izvlačenje br.'!$E5,"E")=1,'Prijava ekipa i izvlačenje br.'!$D5,IF(COUNTIF('Prijava ekipa i izvlačenje br.'!$H5,"E")=1,'Prijava ekipa i izvlačenje br.'!$G5,IF(COUNTIF('Prijava ekipa i izvlačenje br.'!$K5,"E")=1,'Prijava ekipa i izvlačenje br.'!$J5,IF(COUNTIF('Prijava ekipa i izvlačenje br.'!$N5,"E")=1,'Prijava ekipa i izvlačenje br.'!$M5,IF(COUNTIF('Prijava ekipa i izvlačenje br.'!$Q5,"E")=1,'Prijava ekipa i izvlačenje br.'!$P5,"")))))</f>
        <v>Dražen Štajduhar</v>
      </c>
      <c r="L6" s="237">
        <f>IF(ISBLANK('Upis rezultata E sektora'!F5)=TRUE,"",'Upis rezultata E sektora'!F5)</f>
        <v>1256</v>
      </c>
      <c r="M6" s="244"/>
      <c r="N6" s="245"/>
      <c r="O6" s="90"/>
      <c r="P6" s="90"/>
      <c r="Q6" s="90"/>
      <c r="R6" s="91"/>
      <c r="S6" s="68"/>
      <c r="T6" s="68"/>
    </row>
    <row r="7" spans="1:20" s="72" customFormat="1" ht="84" customHeight="1">
      <c r="A7" s="234">
        <v>5</v>
      </c>
      <c r="B7" s="235" t="str">
        <f>IF(ISBLANK('Prijava ekipa i izvlačenje br.'!C6)=TRUE,"",'Prijava ekipa i izvlačenje br.'!C6)</f>
        <v>Varaždin Varaždin</v>
      </c>
      <c r="C7" s="236" t="str">
        <f>IF(COUNTIF('Prijava ekipa i izvlačenje br.'!$E6,"A")=1,'Prijava ekipa i izvlačenje br.'!$D6,IF(COUNTIF('Prijava ekipa i izvlačenje br.'!$H6,"A")=1,'Prijava ekipa i izvlačenje br.'!$G6,IF(COUNTIF('Prijava ekipa i izvlačenje br.'!$K6,"A")=1,'Prijava ekipa i izvlačenje br.'!$J6,IF(COUNTIF('Prijava ekipa i izvlačenje br.'!$N6,"A")=1,'Prijava ekipa i izvlačenje br.'!$M6,IF(COUNTIF('Prijava ekipa i izvlačenje br.'!$Q6,"A")=1,'Prijava ekipa i izvlačenje br.'!$P6,"")))))</f>
        <v>Ivica Bonino Hasan</v>
      </c>
      <c r="D7" s="237">
        <f>IF(ISBLANK('Upis rezultata A sektora'!F6)=TRUE,"",'Upis rezultata A sektora'!F6)</f>
        <v>475</v>
      </c>
      <c r="E7" s="238" t="str">
        <f>IF(COUNTIF('Prijava ekipa i izvlačenje br.'!$E6,"B")=1,'Prijava ekipa i izvlačenje br.'!$D6,IF(COUNTIF('Prijava ekipa i izvlačenje br.'!$H6,"B")=1,'Prijava ekipa i izvlačenje br.'!$G6,IF(COUNTIF('Prijava ekipa i izvlačenje br.'!$K6,"B")=1,'Prijava ekipa i izvlačenje br.'!$J6,IF(COUNTIF('Prijava ekipa i izvlačenje br.'!$N6,"B")=1,'Prijava ekipa i izvlačenje br.'!$M6,IF(COUNTIF('Prijava ekipa i izvlačenje br.'!$Q6,"B")=1,'Prijava ekipa i izvlačenje br.'!$P6,"")))))</f>
        <v>Tihomir Hunjak</v>
      </c>
      <c r="F7" s="237">
        <f>IF(ISBLANK('Upis rezultata B sektora'!F6)=TRUE,"",'Upis rezultata B sektora'!F6)</f>
        <v>1004</v>
      </c>
      <c r="G7" s="238" t="str">
        <f>IF(COUNTIF('Prijava ekipa i izvlačenje br.'!$E6,"C")=1,'Prijava ekipa i izvlačenje br.'!$D6,IF(COUNTIF('Prijava ekipa i izvlačenje br.'!$H6,"C")=1,'Prijava ekipa i izvlačenje br.'!$G6,IF(COUNTIF('Prijava ekipa i izvlačenje br.'!$K6,"C")=1,'Prijava ekipa i izvlačenje br.'!$J6,IF(COUNTIF('Prijava ekipa i izvlačenje br.'!$N6,"C")=1,'Prijava ekipa i izvlačenje br.'!$M6,IF(COUNTIF('Prijava ekipa i izvlačenje br.'!$Q6,"C")=1,'Prijava ekipa i izvlačenje br.'!$P6,"")))))</f>
        <v>Marijan Lisjak</v>
      </c>
      <c r="H7" s="237">
        <f>IF(ISBLANK('Upis rezultata C sektora'!F6)=TRUE,"",'Upis rezultata C sektora'!F6)</f>
        <v>930</v>
      </c>
      <c r="I7" s="238" t="str">
        <f>IF(COUNTIF('Prijava ekipa i izvlačenje br.'!$E6,"D")=1,'Prijava ekipa i izvlačenje br.'!$D6,IF(COUNTIF('Prijava ekipa i izvlačenje br.'!$H6,"D")=1,'Prijava ekipa i izvlačenje br.'!$G6,IF(COUNTIF('Prijava ekipa i izvlačenje br.'!$K6,"D")=1,'Prijava ekipa i izvlačenje br.'!$J6,IF(COUNTIF('Prijava ekipa i izvlačenje br.'!$N6,"D")=1,'Prijava ekipa i izvlačenje br.'!$M6,IF(COUNTIF('Prijava ekipa i izvlačenje br.'!$Q6,"D")=1,'Prijava ekipa i izvlačenje br.'!$P6,"")))))</f>
        <v>Damir Škorić</v>
      </c>
      <c r="J7" s="237">
        <f>IF(ISBLANK('Upis rezultata D sektora'!F6)=TRUE,"",'Upis rezultata D sektora'!F6)</f>
        <v>3700</v>
      </c>
      <c r="K7" s="238" t="str">
        <f>IF(COUNTIF('Prijava ekipa i izvlačenje br.'!$E6,"E")=1,'Prijava ekipa i izvlačenje br.'!$D6,IF(COUNTIF('Prijava ekipa i izvlačenje br.'!$H6,"E")=1,'Prijava ekipa i izvlačenje br.'!$G6,IF(COUNTIF('Prijava ekipa i izvlačenje br.'!$K6,"E")=1,'Prijava ekipa i izvlačenje br.'!$J6,IF(COUNTIF('Prijava ekipa i izvlačenje br.'!$N6,"E")=1,'Prijava ekipa i izvlačenje br.'!$M6,IF(COUNTIF('Prijava ekipa i izvlačenje br.'!$Q6,"E")=1,'Prijava ekipa i izvlačenje br.'!$P6,"")))))</f>
        <v>Kristijan Kosmačin</v>
      </c>
      <c r="L7" s="237">
        <f>IF(ISBLANK('Upis rezultata E sektora'!F6)=TRUE,"",'Upis rezultata E sektora'!F6)</f>
        <v>1325</v>
      </c>
      <c r="M7" s="244"/>
      <c r="N7" s="245"/>
      <c r="O7" s="90"/>
      <c r="P7" s="90"/>
      <c r="Q7" s="90"/>
      <c r="R7" s="91"/>
      <c r="S7" s="68"/>
      <c r="T7" s="68"/>
    </row>
    <row r="8" spans="1:20" s="72" customFormat="1" ht="84" customHeight="1">
      <c r="A8" s="234">
        <v>6</v>
      </c>
      <c r="B8" s="235" t="str">
        <f>IF(ISBLANK('Prijava ekipa i izvlačenje br.'!C7)=TRUE,"",'Prijava ekipa i izvlačenje br.'!C7)</f>
        <v>Azzuro Varaždin</v>
      </c>
      <c r="C8" s="236" t="str">
        <f>IF(COUNTIF('Prijava ekipa i izvlačenje br.'!$E7,"A")=1,'Prijava ekipa i izvlačenje br.'!$D7,IF(COUNTIF('Prijava ekipa i izvlačenje br.'!$H7,"A")=1,'Prijava ekipa i izvlačenje br.'!$G7,IF(COUNTIF('Prijava ekipa i izvlačenje br.'!$K7,"A")=1,'Prijava ekipa i izvlačenje br.'!$J7,IF(COUNTIF('Prijava ekipa i izvlačenje br.'!$N7,"A")=1,'Prijava ekipa i izvlačenje br.'!$M7,IF(COUNTIF('Prijava ekipa i izvlačenje br.'!$Q7,"A")=1,'Prijava ekipa i izvlačenje br.'!$P7,"")))))</f>
        <v>Dražen Bajzek</v>
      </c>
      <c r="D8" s="237">
        <f>IF(ISBLANK('Upis rezultata A sektora'!F7)=TRUE,"",'Upis rezultata A sektora'!F7)</f>
        <v>2105</v>
      </c>
      <c r="E8" s="238" t="str">
        <f>IF(COUNTIF('Prijava ekipa i izvlačenje br.'!$E7,"B")=1,'Prijava ekipa i izvlačenje br.'!$D7,IF(COUNTIF('Prijava ekipa i izvlačenje br.'!$H7,"B")=1,'Prijava ekipa i izvlačenje br.'!$G7,IF(COUNTIF('Prijava ekipa i izvlačenje br.'!$K7,"B")=1,'Prijava ekipa i izvlačenje br.'!$J7,IF(COUNTIF('Prijava ekipa i izvlačenje br.'!$N7,"B")=1,'Prijava ekipa i izvlačenje br.'!$M7,IF(COUNTIF('Prijava ekipa i izvlačenje br.'!$Q7,"B")=1,'Prijava ekipa i izvlačenje br.'!$P7,"")))))</f>
        <v>Zlatko Kračun</v>
      </c>
      <c r="F8" s="237">
        <f>IF(ISBLANK('Upis rezultata B sektora'!F7)=TRUE,"",'Upis rezultata B sektora'!F7)</f>
        <v>1119</v>
      </c>
      <c r="G8" s="238" t="str">
        <f>IF(COUNTIF('Prijava ekipa i izvlačenje br.'!$E7,"C")=1,'Prijava ekipa i izvlačenje br.'!$D7,IF(COUNTIF('Prijava ekipa i izvlačenje br.'!$H7,"C")=1,'Prijava ekipa i izvlačenje br.'!$G7,IF(COUNTIF('Prijava ekipa i izvlačenje br.'!$K7,"C")=1,'Prijava ekipa i izvlačenje br.'!$J7,IF(COUNTIF('Prijava ekipa i izvlačenje br.'!$N7,"C")=1,'Prijava ekipa i izvlačenje br.'!$M7,IF(COUNTIF('Prijava ekipa i izvlačenje br.'!$Q7,"C")=1,'Prijava ekipa i izvlačenje br.'!$P7,"")))))</f>
        <v>Ljubo Matulin</v>
      </c>
      <c r="H8" s="237">
        <f>IF(ISBLANK('Upis rezultata C sektora'!F7)=TRUE,"",'Upis rezultata C sektora'!F7)</f>
        <v>2005</v>
      </c>
      <c r="I8" s="238" t="str">
        <f>IF(COUNTIF('Prijava ekipa i izvlačenje br.'!$E7,"D")=1,'Prijava ekipa i izvlačenje br.'!$D7,IF(COUNTIF('Prijava ekipa i izvlačenje br.'!$H7,"D")=1,'Prijava ekipa i izvlačenje br.'!$G7,IF(COUNTIF('Prijava ekipa i izvlačenje br.'!$K7,"D")=1,'Prijava ekipa i izvlačenje br.'!$J7,IF(COUNTIF('Prijava ekipa i izvlačenje br.'!$N7,"D")=1,'Prijava ekipa i izvlačenje br.'!$M7,IF(COUNTIF('Prijava ekipa i izvlačenje br.'!$Q7,"D")=1,'Prijava ekipa i izvlačenje br.'!$P7,"")))))</f>
        <v>Mensur Rošić</v>
      </c>
      <c r="J8" s="237">
        <f>IF(ISBLANK('Upis rezultata D sektora'!F7)=TRUE,"",'Upis rezultata D sektora'!F7)</f>
        <v>1354</v>
      </c>
      <c r="K8" s="238" t="str">
        <f>IF(COUNTIF('Prijava ekipa i izvlačenje br.'!$E7,"E")=1,'Prijava ekipa i izvlačenje br.'!$D7,IF(COUNTIF('Prijava ekipa i izvlačenje br.'!$H7,"E")=1,'Prijava ekipa i izvlačenje br.'!$G7,IF(COUNTIF('Prijava ekipa i izvlačenje br.'!$K7,"E")=1,'Prijava ekipa i izvlačenje br.'!$J7,IF(COUNTIF('Prijava ekipa i izvlačenje br.'!$N7,"E")=1,'Prijava ekipa i izvlačenje br.'!$M7,IF(COUNTIF('Prijava ekipa i izvlačenje br.'!$Q7,"E")=1,'Prijava ekipa i izvlačenje br.'!$P7,"")))))</f>
        <v>Davor Florijanić</v>
      </c>
      <c r="L8" s="237">
        <f>IF(ISBLANK('Upis rezultata E sektora'!F7)=TRUE,"",'Upis rezultata E sektora'!F7)</f>
        <v>1325</v>
      </c>
      <c r="M8" s="244"/>
      <c r="N8" s="245"/>
      <c r="O8" s="90"/>
      <c r="P8" s="90"/>
      <c r="Q8" s="90"/>
      <c r="R8" s="91"/>
      <c r="S8" s="68"/>
      <c r="T8" s="68"/>
    </row>
    <row r="9" spans="1:20" s="72" customFormat="1" ht="84" customHeight="1">
      <c r="A9" s="234">
        <v>7</v>
      </c>
      <c r="B9" s="235" t="str">
        <f>IF(ISBLANK('Prijava ekipa i izvlačenje br.'!C8)=TRUE,"",'Prijava ekipa i izvlačenje br.'!C8)</f>
        <v>Trnje-ŠR Zagreb</v>
      </c>
      <c r="C9" s="236" t="str">
        <f>IF(COUNTIF('Prijava ekipa i izvlačenje br.'!$E8,"A")=1,'Prijava ekipa i izvlačenje br.'!$D8,IF(COUNTIF('Prijava ekipa i izvlačenje br.'!$H8,"A")=1,'Prijava ekipa i izvlačenje br.'!$G8,IF(COUNTIF('Prijava ekipa i izvlačenje br.'!$K8,"A")=1,'Prijava ekipa i izvlačenje br.'!$J8,IF(COUNTIF('Prijava ekipa i izvlačenje br.'!$N8,"A")=1,'Prijava ekipa i izvlačenje br.'!$M8,IF(COUNTIF('Prijava ekipa i izvlačenje br.'!$Q8,"A")=1,'Prijava ekipa i izvlačenje br.'!$P8,"")))))</f>
        <v>Zdravko Gotovac</v>
      </c>
      <c r="D9" s="237">
        <f>IF(ISBLANK('Upis rezultata A sektora'!F8)=TRUE,"",'Upis rezultata A sektora'!F8)</f>
        <v>905</v>
      </c>
      <c r="E9" s="238" t="str">
        <f>IF(COUNTIF('Prijava ekipa i izvlačenje br.'!$E8,"B")=1,'Prijava ekipa i izvlačenje br.'!$D8,IF(COUNTIF('Prijava ekipa i izvlačenje br.'!$H8,"B")=1,'Prijava ekipa i izvlačenje br.'!$G8,IF(COUNTIF('Prijava ekipa i izvlačenje br.'!$K8,"B")=1,'Prijava ekipa i izvlačenje br.'!$J8,IF(COUNTIF('Prijava ekipa i izvlačenje br.'!$N8,"B")=1,'Prijava ekipa i izvlačenje br.'!$M8,IF(COUNTIF('Prijava ekipa i izvlačenje br.'!$Q8,"B")=1,'Prijava ekipa i izvlačenje br.'!$P8,"")))))</f>
        <v>Željko Raženj</v>
      </c>
      <c r="F9" s="237">
        <f>IF(ISBLANK('Upis rezultata B sektora'!F8)=TRUE,"",'Upis rezultata B sektora'!F8)</f>
        <v>1895</v>
      </c>
      <c r="G9" s="238" t="str">
        <f>IF(COUNTIF('Prijava ekipa i izvlačenje br.'!$E8,"C")=1,'Prijava ekipa i izvlačenje br.'!$D8,IF(COUNTIF('Prijava ekipa i izvlačenje br.'!$H8,"C")=1,'Prijava ekipa i izvlačenje br.'!$G8,IF(COUNTIF('Prijava ekipa i izvlačenje br.'!$K8,"C")=1,'Prijava ekipa i izvlačenje br.'!$J8,IF(COUNTIF('Prijava ekipa i izvlačenje br.'!$N8,"C")=1,'Prijava ekipa i izvlačenje br.'!$M8,IF(COUNTIF('Prijava ekipa i izvlačenje br.'!$Q8,"C")=1,'Prijava ekipa i izvlačenje br.'!$P8,"")))))</f>
        <v>Ivan Fehir</v>
      </c>
      <c r="H9" s="237">
        <f>IF(ISBLANK('Upis rezultata C sektora'!F8)=TRUE,"",'Upis rezultata C sektora'!F8)</f>
        <v>1790</v>
      </c>
      <c r="I9" s="238" t="str">
        <f>IF(COUNTIF('Prijava ekipa i izvlačenje br.'!$E8,"D")=1,'Prijava ekipa i izvlačenje br.'!$D8,IF(COUNTIF('Prijava ekipa i izvlačenje br.'!$H8,"D")=1,'Prijava ekipa i izvlačenje br.'!$G8,IF(COUNTIF('Prijava ekipa i izvlačenje br.'!$K8,"D")=1,'Prijava ekipa i izvlačenje br.'!$J8,IF(COUNTIF('Prijava ekipa i izvlačenje br.'!$N8,"D")=1,'Prijava ekipa i izvlačenje br.'!$M8,IF(COUNTIF('Prijava ekipa i izvlačenje br.'!$Q8,"D")=1,'Prijava ekipa i izvlačenje br.'!$P8,"")))))</f>
        <v>Tihomir Vukić</v>
      </c>
      <c r="J9" s="237">
        <f>IF(ISBLANK('Upis rezultata D sektora'!F8)=TRUE,"",'Upis rezultata D sektora'!F8)</f>
        <v>1498</v>
      </c>
      <c r="K9" s="238" t="str">
        <f>IF(COUNTIF('Prijava ekipa i izvlačenje br.'!$E8,"E")=1,'Prijava ekipa i izvlačenje br.'!$D8,IF(COUNTIF('Prijava ekipa i izvlačenje br.'!$H8,"E")=1,'Prijava ekipa i izvlačenje br.'!$G8,IF(COUNTIF('Prijava ekipa i izvlačenje br.'!$K8,"E")=1,'Prijava ekipa i izvlačenje br.'!$J8,IF(COUNTIF('Prijava ekipa i izvlačenje br.'!$N8,"E")=1,'Prijava ekipa i izvlačenje br.'!$M8,IF(COUNTIF('Prijava ekipa i izvlačenje br.'!$Q8,"E")=1,'Prijava ekipa i izvlačenje br.'!$P8,"")))))</f>
        <v>Goran Abramović</v>
      </c>
      <c r="L9" s="237">
        <f>IF(ISBLANK('Upis rezultata E sektora'!F8)=TRUE,"",'Upis rezultata E sektora'!F8)</f>
        <v>1354</v>
      </c>
      <c r="M9" s="244"/>
      <c r="N9" s="245"/>
      <c r="O9" s="90"/>
      <c r="P9" s="90"/>
      <c r="Q9" s="90"/>
      <c r="R9" s="91"/>
      <c r="S9" s="68"/>
      <c r="T9" s="68"/>
    </row>
    <row r="10" spans="1:20" s="72" customFormat="1" ht="84" customHeight="1">
      <c r="A10" s="234">
        <v>8</v>
      </c>
      <c r="B10" s="235" t="str">
        <f>IF(ISBLANK('Prijava ekipa i izvlačenje br.'!C9)=TRUE,"",'Prijava ekipa i izvlačenje br.'!C9)</f>
        <v>Klen N.Gradiška</v>
      </c>
      <c r="C10" s="236" t="str">
        <f>IF(COUNTIF('Prijava ekipa i izvlačenje br.'!$E9,"A")=1,'Prijava ekipa i izvlačenje br.'!$D9,IF(COUNTIF('Prijava ekipa i izvlačenje br.'!$H9,"A")=1,'Prijava ekipa i izvlačenje br.'!$G9,IF(COUNTIF('Prijava ekipa i izvlačenje br.'!$K9,"A")=1,'Prijava ekipa i izvlačenje br.'!$J9,IF(COUNTIF('Prijava ekipa i izvlačenje br.'!$N9,"A")=1,'Prijava ekipa i izvlačenje br.'!$M9,IF(COUNTIF('Prijava ekipa i izvlačenje br.'!$Q9,"A")=1,'Prijava ekipa i izvlačenje br.'!$P9,"")))))</f>
        <v>Damir Dević</v>
      </c>
      <c r="D10" s="237">
        <f>IF(ISBLANK('Upis rezultata A sektora'!F9)=TRUE,"",'Upis rezultata A sektora'!F9)</f>
        <v>1125</v>
      </c>
      <c r="E10" s="238" t="str">
        <f>IF(COUNTIF('Prijava ekipa i izvlačenje br.'!$E9,"B")=1,'Prijava ekipa i izvlačenje br.'!$D9,IF(COUNTIF('Prijava ekipa i izvlačenje br.'!$H9,"B")=1,'Prijava ekipa i izvlačenje br.'!$G9,IF(COUNTIF('Prijava ekipa i izvlačenje br.'!$K9,"B")=1,'Prijava ekipa i izvlačenje br.'!$J9,IF(COUNTIF('Prijava ekipa i izvlačenje br.'!$N9,"B")=1,'Prijava ekipa i izvlačenje br.'!$M9,IF(COUNTIF('Prijava ekipa i izvlačenje br.'!$Q9,"B")=1,'Prijava ekipa i izvlačenje br.'!$P9,"")))))</f>
        <v>Mario Akmačić</v>
      </c>
      <c r="F10" s="237">
        <f>IF(ISBLANK('Upis rezultata B sektora'!F9)=TRUE,"",'Upis rezultata B sektora'!F9)</f>
        <v>1953</v>
      </c>
      <c r="G10" s="238" t="str">
        <f>IF(COUNTIF('Prijava ekipa i izvlačenje br.'!$E9,"C")=1,'Prijava ekipa i izvlačenje br.'!$D9,IF(COUNTIF('Prijava ekipa i izvlačenje br.'!$H9,"C")=1,'Prijava ekipa i izvlačenje br.'!$G9,IF(COUNTIF('Prijava ekipa i izvlačenje br.'!$K9,"C")=1,'Prijava ekipa i izvlačenje br.'!$J9,IF(COUNTIF('Prijava ekipa i izvlačenje br.'!$N9,"C")=1,'Prijava ekipa i izvlačenje br.'!$M9,IF(COUNTIF('Prijava ekipa i izvlačenje br.'!$Q9,"C")=1,'Prijava ekipa i izvlačenje br.'!$P9,"")))))</f>
        <v>Petar Petrović</v>
      </c>
      <c r="H10" s="237">
        <f>IF(ISBLANK('Upis rezultata C sektora'!F9)=TRUE,"",'Upis rezultata C sektora'!F9)</f>
        <v>1325</v>
      </c>
      <c r="I10" s="238" t="str">
        <f>IF(COUNTIF('Prijava ekipa i izvlačenje br.'!$E9,"D")=1,'Prijava ekipa i izvlačenje br.'!$D9,IF(COUNTIF('Prijava ekipa i izvlačenje br.'!$H9,"D")=1,'Prijava ekipa i izvlačenje br.'!$G9,IF(COUNTIF('Prijava ekipa i izvlačenje br.'!$K9,"D")=1,'Prijava ekipa i izvlačenje br.'!$J9,IF(COUNTIF('Prijava ekipa i izvlačenje br.'!$N9,"D")=1,'Prijava ekipa i izvlačenje br.'!$M9,IF(COUNTIF('Prijava ekipa i izvlačenje br.'!$Q9,"D")=1,'Prijava ekipa i izvlačenje br.'!$P9,"")))))</f>
        <v>Goran Funes</v>
      </c>
      <c r="J10" s="237">
        <f>IF(ISBLANK('Upis rezultata D sektora'!F9)=TRUE,"",'Upis rezultata D sektora'!F9)</f>
        <v>480</v>
      </c>
      <c r="K10" s="238" t="str">
        <f>IF(COUNTIF('Prijava ekipa i izvlačenje br.'!$E9,"E")=1,'Prijava ekipa i izvlačenje br.'!$D9,IF(COUNTIF('Prijava ekipa i izvlačenje br.'!$H9,"E")=1,'Prijava ekipa i izvlačenje br.'!$G9,IF(COUNTIF('Prijava ekipa i izvlačenje br.'!$K9,"E")=1,'Prijava ekipa i izvlačenje br.'!$J9,IF(COUNTIF('Prijava ekipa i izvlačenje br.'!$N9,"E")=1,'Prijava ekipa i izvlačenje br.'!$M9,IF(COUNTIF('Prijava ekipa i izvlačenje br.'!$Q9,"E")=1,'Prijava ekipa i izvlačenje br.'!$P9,"")))))</f>
        <v>Stiven Palijan</v>
      </c>
      <c r="L10" s="237">
        <f>IF(ISBLANK('Upis rezultata E sektora'!F9)=TRUE,"",'Upis rezultata E sektora'!F9)</f>
        <v>1497</v>
      </c>
      <c r="M10" s="244"/>
      <c r="N10" s="245"/>
      <c r="O10" s="90"/>
      <c r="P10" s="90"/>
      <c r="Q10" s="90"/>
      <c r="R10" s="91"/>
      <c r="S10" s="68"/>
      <c r="T10" s="68"/>
    </row>
    <row r="11" spans="1:20" s="72" customFormat="1" ht="84" customHeight="1">
      <c r="A11" s="234">
        <v>9</v>
      </c>
      <c r="B11" s="235" t="str">
        <f>IF(ISBLANK('Prijava ekipa i izvlačenje br.'!C10)=TRUE,"",'Prijava ekipa i izvlačenje br.'!C10)</f>
        <v>Bjelka GME Sunja</v>
      </c>
      <c r="C11" s="236" t="str">
        <f>IF(COUNTIF('Prijava ekipa i izvlačenje br.'!$E10,"A")=1,'Prijava ekipa i izvlačenje br.'!$D10,IF(COUNTIF('Prijava ekipa i izvlačenje br.'!$H10,"A")=1,'Prijava ekipa i izvlačenje br.'!$G10,IF(COUNTIF('Prijava ekipa i izvlačenje br.'!$K10,"A")=1,'Prijava ekipa i izvlačenje br.'!$J10,IF(COUNTIF('Prijava ekipa i izvlačenje br.'!$N10,"A")=1,'Prijava ekipa i izvlačenje br.'!$M10,IF(COUNTIF('Prijava ekipa i izvlačenje br.'!$Q10,"A")=1,'Prijava ekipa i izvlačenje br.'!$P10,"")))))</f>
        <v>Domagoj Ceković</v>
      </c>
      <c r="D11" s="237">
        <f>IF(ISBLANK('Upis rezultata A sektora'!F10)=TRUE,"",'Upis rezultata A sektora'!F10)</f>
        <v>1470</v>
      </c>
      <c r="E11" s="238" t="str">
        <f>IF(COUNTIF('Prijava ekipa i izvlačenje br.'!$E10,"B")=1,'Prijava ekipa i izvlačenje br.'!$D10,IF(COUNTIF('Prijava ekipa i izvlačenje br.'!$H10,"B")=1,'Prijava ekipa i izvlačenje br.'!$G10,IF(COUNTIF('Prijava ekipa i izvlačenje br.'!$K10,"B")=1,'Prijava ekipa i izvlačenje br.'!$J10,IF(COUNTIF('Prijava ekipa i izvlačenje br.'!$N10,"B")=1,'Prijava ekipa i izvlačenje br.'!$M10,IF(COUNTIF('Prijava ekipa i izvlačenje br.'!$Q10,"B")=1,'Prijava ekipa i izvlačenje br.'!$P10,"")))))</f>
        <v>Smail Habibović</v>
      </c>
      <c r="F11" s="237">
        <f>IF(ISBLANK('Upis rezultata B sektora'!F10)=TRUE,"",'Upis rezultata B sektora'!F10)</f>
        <v>1119</v>
      </c>
      <c r="G11" s="238" t="str">
        <f>IF(COUNTIF('Prijava ekipa i izvlačenje br.'!$E10,"C")=1,'Prijava ekipa i izvlačenje br.'!$D10,IF(COUNTIF('Prijava ekipa i izvlačenje br.'!$H10,"C")=1,'Prijava ekipa i izvlačenje br.'!$G10,IF(COUNTIF('Prijava ekipa i izvlačenje br.'!$K10,"C")=1,'Prijava ekipa i izvlačenje br.'!$J10,IF(COUNTIF('Prijava ekipa i izvlačenje br.'!$N10,"C")=1,'Prijava ekipa i izvlačenje br.'!$M10,IF(COUNTIF('Prijava ekipa i izvlačenje br.'!$Q10,"C")=1,'Prijava ekipa i izvlačenje br.'!$P10,"")))))</f>
        <v>Dejan Vondrak</v>
      </c>
      <c r="H11" s="237">
        <f>IF(ISBLANK('Upis rezultata C sektora'!F10)=TRUE,"",'Upis rezultata C sektora'!F10)</f>
        <v>608</v>
      </c>
      <c r="I11" s="238" t="str">
        <f>IF(COUNTIF('Prijava ekipa i izvlačenje br.'!$E10,"D")=1,'Prijava ekipa i izvlačenje br.'!$D10,IF(COUNTIF('Prijava ekipa i izvlačenje br.'!$H10,"D")=1,'Prijava ekipa i izvlačenje br.'!$G10,IF(COUNTIF('Prijava ekipa i izvlačenje br.'!$K10,"D")=1,'Prijava ekipa i izvlačenje br.'!$J10,IF(COUNTIF('Prijava ekipa i izvlačenje br.'!$N10,"D")=1,'Prijava ekipa i izvlačenje br.'!$M10,IF(COUNTIF('Prijava ekipa i izvlačenje br.'!$Q10,"D")=1,'Prijava ekipa i izvlačenje br.'!$P10,"")))))</f>
        <v>Zdravko Vrbanek</v>
      </c>
      <c r="J11" s="237">
        <f>IF(ISBLANK('Upis rezultata D sektora'!F10)=TRUE,"",'Upis rezultata D sektora'!F10)</f>
        <v>1790</v>
      </c>
      <c r="K11" s="238" t="str">
        <f>IF(COUNTIF('Prijava ekipa i izvlačenje br.'!$E10,"E")=1,'Prijava ekipa i izvlačenje br.'!$D10,IF(COUNTIF('Prijava ekipa i izvlačenje br.'!$H10,"E")=1,'Prijava ekipa i izvlačenje br.'!$G10,IF(COUNTIF('Prijava ekipa i izvlačenje br.'!$K10,"E")=1,'Prijava ekipa i izvlačenje br.'!$J10,IF(COUNTIF('Prijava ekipa i izvlačenje br.'!$N10,"E")=1,'Prijava ekipa i izvlačenje br.'!$M10,IF(COUNTIF('Prijava ekipa i izvlačenje br.'!$Q10,"E")=1,'Prijava ekipa i izvlačenje br.'!$P10,"")))))</f>
        <v>Damir Jauševac</v>
      </c>
      <c r="L11" s="237">
        <f>IF(ISBLANK('Upis rezultata E sektora'!F10)=TRUE,"",'Upis rezultata E sektora'!F10)</f>
        <v>1498</v>
      </c>
      <c r="M11" s="244"/>
      <c r="N11" s="245"/>
      <c r="O11" s="90"/>
      <c r="P11" s="90"/>
      <c r="Q11" s="90"/>
      <c r="R11" s="91"/>
      <c r="S11" s="68"/>
      <c r="T11" s="68"/>
    </row>
    <row r="12" spans="1:20" s="72" customFormat="1" ht="84" customHeight="1">
      <c r="A12" s="234">
        <v>10</v>
      </c>
      <c r="B12" s="235" t="str">
        <f>IF(ISBLANK('Prijava ekipa i izvlačenje br.'!C11)=TRUE,"",'Prijava ekipa i izvlačenje br.'!C11)</f>
        <v>TPK Zagreb</v>
      </c>
      <c r="C12" s="236" t="str">
        <f>IF(COUNTIF('Prijava ekipa i izvlačenje br.'!$E11,"A")=1,'Prijava ekipa i izvlačenje br.'!$D11,IF(COUNTIF('Prijava ekipa i izvlačenje br.'!$H11,"A")=1,'Prijava ekipa i izvlačenje br.'!$G11,IF(COUNTIF('Prijava ekipa i izvlačenje br.'!$K11,"A")=1,'Prijava ekipa i izvlačenje br.'!$J11,IF(COUNTIF('Prijava ekipa i izvlačenje br.'!$N11,"A")=1,'Prijava ekipa i izvlačenje br.'!$M11,IF(COUNTIF('Prijava ekipa i izvlačenje br.'!$Q11,"A")=1,'Prijava ekipa i izvlačenje br.'!$P11,"")))))</f>
        <v>Dalibor Agbaba</v>
      </c>
      <c r="D12" s="237">
        <f>IF(ISBLANK('Upis rezultata A sektora'!F11)=TRUE,"",'Upis rezultata A sektora'!F11)</f>
        <v>1765</v>
      </c>
      <c r="E12" s="238" t="str">
        <f>IF(COUNTIF('Prijava ekipa i izvlačenje br.'!$E11,"B")=1,'Prijava ekipa i izvlačenje br.'!$D11,IF(COUNTIF('Prijava ekipa i izvlačenje br.'!$H11,"B")=1,'Prijava ekipa i izvlačenje br.'!$G11,IF(COUNTIF('Prijava ekipa i izvlačenje br.'!$K11,"B")=1,'Prijava ekipa i izvlačenje br.'!$J11,IF(COUNTIF('Prijava ekipa i izvlačenje br.'!$N11,"B")=1,'Prijava ekipa i izvlačenje br.'!$M11,IF(COUNTIF('Prijava ekipa i izvlačenje br.'!$Q11,"B")=1,'Prijava ekipa i izvlačenje br.'!$P11,"")))))</f>
        <v>Anđelo Orač</v>
      </c>
      <c r="F12" s="237">
        <f>IF(ISBLANK('Upis rezultata B sektora'!F11)=TRUE,"",'Upis rezultata B sektora'!F11)</f>
        <v>1765</v>
      </c>
      <c r="G12" s="238" t="str">
        <f>IF(COUNTIF('Prijava ekipa i izvlačenje br.'!$E11,"C")=1,'Prijava ekipa i izvlačenje br.'!$D11,IF(COUNTIF('Prijava ekipa i izvlačenje br.'!$H11,"C")=1,'Prijava ekipa i izvlačenje br.'!$G11,IF(COUNTIF('Prijava ekipa i izvlačenje br.'!$K11,"C")=1,'Prijava ekipa i izvlačenje br.'!$J11,IF(COUNTIF('Prijava ekipa i izvlačenje br.'!$N11,"C")=1,'Prijava ekipa i izvlačenje br.'!$M11,IF(COUNTIF('Prijava ekipa i izvlačenje br.'!$Q11,"C")=1,'Prijava ekipa i izvlačenje br.'!$P11,"")))))</f>
        <v>Zlatko Poparić</v>
      </c>
      <c r="H12" s="237">
        <f>IF(ISBLANK('Upis rezultata C sektora'!F11)=TRUE,"",'Upis rezultata C sektora'!F11)</f>
        <v>1765</v>
      </c>
      <c r="I12" s="238" t="str">
        <f>IF(COUNTIF('Prijava ekipa i izvlačenje br.'!$E11,"D")=1,'Prijava ekipa i izvlačenje br.'!$D11,IF(COUNTIF('Prijava ekipa i izvlačenje br.'!$H11,"D")=1,'Prijava ekipa i izvlačenje br.'!$G11,IF(COUNTIF('Prijava ekipa i izvlačenje br.'!$K11,"D")=1,'Prijava ekipa i izvlačenje br.'!$J11,IF(COUNTIF('Prijava ekipa i izvlačenje br.'!$N11,"D")=1,'Prijava ekipa i izvlačenje br.'!$M11,IF(COUNTIF('Prijava ekipa i izvlačenje br.'!$Q11,"D")=1,'Prijava ekipa i izvlačenje br.'!$P11,"")))))</f>
        <v>Zlatko Kraljević</v>
      </c>
      <c r="J12" s="237">
        <f>IF(ISBLANK('Upis rezultata D sektora'!F11)=TRUE,"",'Upis rezultata D sektora'!F11)</f>
        <v>1765</v>
      </c>
      <c r="K12" s="238" t="str">
        <f>IF(COUNTIF('Prijava ekipa i izvlačenje br.'!$E11,"E")=1,'Prijava ekipa i izvlačenje br.'!$D11,IF(COUNTIF('Prijava ekipa i izvlačenje br.'!$H11,"E")=1,'Prijava ekipa i izvlačenje br.'!$G11,IF(COUNTIF('Prijava ekipa i izvlačenje br.'!$K11,"E")=1,'Prijava ekipa i izvlačenje br.'!$J11,IF(COUNTIF('Prijava ekipa i izvlačenje br.'!$N11,"E")=1,'Prijava ekipa i izvlačenje br.'!$M11,IF(COUNTIF('Prijava ekipa i izvlačenje br.'!$Q11,"E")=1,'Prijava ekipa i izvlačenje br.'!$P11,"")))))</f>
        <v>Zoran Štefanić</v>
      </c>
      <c r="L12" s="237">
        <f>IF(ISBLANK('Upis rezultata E sektora'!F11)=TRUE,"",'Upis rezultata E sektora'!F11)</f>
        <v>1765</v>
      </c>
      <c r="M12" s="244"/>
      <c r="N12" s="245"/>
      <c r="O12" s="90"/>
      <c r="P12" s="90"/>
      <c r="Q12" s="90"/>
      <c r="R12" s="91"/>
      <c r="S12" s="68"/>
      <c r="T12" s="68"/>
    </row>
    <row r="13" spans="1:20" s="72" customFormat="1" ht="84" customHeight="1">
      <c r="A13" s="234">
        <v>11</v>
      </c>
      <c r="B13" s="235" t="str">
        <f>IF(ISBLANK('Prijava ekipa i izvlačenje br.'!C12)=TRUE,"",'Prijava ekipa i izvlačenje br.'!C12)</f>
        <v>Ilova Garešnica</v>
      </c>
      <c r="C13" s="236" t="str">
        <f>IF(COUNTIF('Prijava ekipa i izvlačenje br.'!$E12,"A")=1,'Prijava ekipa i izvlačenje br.'!$D12,IF(COUNTIF('Prijava ekipa i izvlačenje br.'!$H12,"A")=1,'Prijava ekipa i izvlačenje br.'!$G12,IF(COUNTIF('Prijava ekipa i izvlačenje br.'!$K12,"A")=1,'Prijava ekipa i izvlačenje br.'!$J12,IF(COUNTIF('Prijava ekipa i izvlačenje br.'!$N12,"A")=1,'Prijava ekipa i izvlačenje br.'!$M12,IF(COUNTIF('Prijava ekipa i izvlačenje br.'!$Q12,"A")=1,'Prijava ekipa i izvlačenje br.'!$P12,"")))))</f>
        <v>Zlatko Šapina</v>
      </c>
      <c r="D13" s="237">
        <f>IF(ISBLANK('Upis rezultata A sektora'!F12)=TRUE,"",'Upis rezultata A sektora'!F12)</f>
        <v>2800</v>
      </c>
      <c r="E13" s="238" t="str">
        <f>IF(COUNTIF('Prijava ekipa i izvlačenje br.'!$E12,"B")=1,'Prijava ekipa i izvlačenje br.'!$D12,IF(COUNTIF('Prijava ekipa i izvlačenje br.'!$H12,"B")=1,'Prijava ekipa i izvlačenje br.'!$G12,IF(COUNTIF('Prijava ekipa i izvlačenje br.'!$K12,"B")=1,'Prijava ekipa i izvlačenje br.'!$J12,IF(COUNTIF('Prijava ekipa i izvlačenje br.'!$N12,"B")=1,'Prijava ekipa i izvlačenje br.'!$M12,IF(COUNTIF('Prijava ekipa i izvlačenje br.'!$Q12,"B")=1,'Prijava ekipa i izvlačenje br.'!$P12,"")))))</f>
        <v>Tomislav Duković</v>
      </c>
      <c r="F13" s="237">
        <f>IF(ISBLANK('Upis rezultata B sektora'!F12)=TRUE,"",'Upis rezultata B sektora'!F12)</f>
        <v>1765</v>
      </c>
      <c r="G13" s="238" t="str">
        <f>IF(COUNTIF('Prijava ekipa i izvlačenje br.'!$E12,"C")=1,'Prijava ekipa i izvlačenje br.'!$D12,IF(COUNTIF('Prijava ekipa i izvlačenje br.'!$H12,"C")=1,'Prijava ekipa i izvlačenje br.'!$G12,IF(COUNTIF('Prijava ekipa i izvlačenje br.'!$K12,"C")=1,'Prijava ekipa i izvlačenje br.'!$J12,IF(COUNTIF('Prijava ekipa i izvlačenje br.'!$N12,"C")=1,'Prijava ekipa i izvlačenje br.'!$M12,IF(COUNTIF('Prijava ekipa i izvlačenje br.'!$Q12,"C")=1,'Prijava ekipa i izvlačenje br.'!$P12,"")))))</f>
        <v>Dražen Červeni</v>
      </c>
      <c r="H13" s="237">
        <f>IF(ISBLANK('Upis rezultata C sektora'!F12)=TRUE,"",'Upis rezultata C sektora'!F12)</f>
        <v>1765</v>
      </c>
      <c r="I13" s="238" t="str">
        <f>IF(COUNTIF('Prijava ekipa i izvlačenje br.'!$E12,"D")=1,'Prijava ekipa i izvlačenje br.'!$D12,IF(COUNTIF('Prijava ekipa i izvlačenje br.'!$H12,"D")=1,'Prijava ekipa i izvlačenje br.'!$G12,IF(COUNTIF('Prijava ekipa i izvlačenje br.'!$K12,"D")=1,'Prijava ekipa i izvlačenje br.'!$J12,IF(COUNTIF('Prijava ekipa i izvlačenje br.'!$N12,"D")=1,'Prijava ekipa i izvlačenje br.'!$M12,IF(COUNTIF('Prijava ekipa i izvlačenje br.'!$Q12,"D")=1,'Prijava ekipa i izvlačenje br.'!$P12,"")))))</f>
        <v>Bengez Dražen</v>
      </c>
      <c r="J13" s="237">
        <f>IF(ISBLANK('Upis rezultata D sektora'!F12)=TRUE,"",'Upis rezultata D sektora'!F12)</f>
        <v>1765</v>
      </c>
      <c r="K13" s="238" t="str">
        <f>IF(COUNTIF('Prijava ekipa i izvlačenje br.'!$E12,"E")=1,'Prijava ekipa i izvlačenje br.'!$D12,IF(COUNTIF('Prijava ekipa i izvlačenje br.'!$H12,"E")=1,'Prijava ekipa i izvlačenje br.'!$G12,IF(COUNTIF('Prijava ekipa i izvlačenje br.'!$K12,"E")=1,'Prijava ekipa i izvlačenje br.'!$J12,IF(COUNTIF('Prijava ekipa i izvlačenje br.'!$N12,"E")=1,'Prijava ekipa i izvlačenje br.'!$M12,IF(COUNTIF('Prijava ekipa i izvlačenje br.'!$Q12,"E")=1,'Prijava ekipa i izvlačenje br.'!$P12,"")))))</f>
        <v>Josip Kutlić</v>
      </c>
      <c r="L13" s="237">
        <f>IF(ISBLANK('Upis rezultata E sektora'!F12)=TRUE,"",'Upis rezultata E sektora'!F12)</f>
        <v>1765</v>
      </c>
      <c r="M13" s="244"/>
      <c r="N13" s="245"/>
      <c r="O13" s="90"/>
      <c r="P13" s="90"/>
      <c r="Q13" s="90"/>
      <c r="R13" s="91"/>
      <c r="S13" s="68"/>
      <c r="T13" s="68"/>
    </row>
    <row r="14" spans="1:20" s="72" customFormat="1" ht="84" customHeight="1">
      <c r="A14" s="234">
        <v>12</v>
      </c>
      <c r="B14" s="235" t="str">
        <f>IF(ISBLANK('Prijava ekipa i izvlačenje br.'!C13)=TRUE,"",'Prijava ekipa i izvlačenje br.'!C13)</f>
        <v>Jez Jasenovac</v>
      </c>
      <c r="C14" s="236" t="str">
        <f>IF(COUNTIF('Prijava ekipa i izvlačenje br.'!$E13,"A")=1,'Prijava ekipa i izvlačenje br.'!$D13,IF(COUNTIF('Prijava ekipa i izvlačenje br.'!$H13,"A")=1,'Prijava ekipa i izvlačenje br.'!$G13,IF(COUNTIF('Prijava ekipa i izvlačenje br.'!$K13,"A")=1,'Prijava ekipa i izvlačenje br.'!$J13,IF(COUNTIF('Prijava ekipa i izvlačenje br.'!$N13,"A")=1,'Prijava ekipa i izvlačenje br.'!$M13,IF(COUNTIF('Prijava ekipa i izvlačenje br.'!$Q13,"A")=1,'Prijava ekipa i izvlačenje br.'!$P13,"")))))</f>
        <v>Mladen Meseš</v>
      </c>
      <c r="D14" s="237">
        <f>IF(ISBLANK('Upis rezultata A sektora'!F13)=TRUE,"",'Upis rezultata A sektora'!F13)</f>
        <v>1680</v>
      </c>
      <c r="E14" s="238" t="str">
        <f>IF(COUNTIF('Prijava ekipa i izvlačenje br.'!$E13,"B")=1,'Prijava ekipa i izvlačenje br.'!$D13,IF(COUNTIF('Prijava ekipa i izvlačenje br.'!$H13,"B")=1,'Prijava ekipa i izvlačenje br.'!$G13,IF(COUNTIF('Prijava ekipa i izvlačenje br.'!$K13,"B")=1,'Prijava ekipa i izvlačenje br.'!$J13,IF(COUNTIF('Prijava ekipa i izvlačenje br.'!$N13,"B")=1,'Prijava ekipa i izvlačenje br.'!$M13,IF(COUNTIF('Prijava ekipa i izvlačenje br.'!$Q13,"B")=1,'Prijava ekipa i izvlačenje br.'!$P13,"")))))</f>
        <v>Marijan Kumić</v>
      </c>
      <c r="F14" s="237">
        <f>IF(ISBLANK('Upis rezultata B sektora'!F13)=TRUE,"",'Upis rezultata B sektora'!F13)</f>
        <v>3700</v>
      </c>
      <c r="G14" s="238" t="str">
        <f>IF(COUNTIF('Prijava ekipa i izvlačenje br.'!$E13,"C")=1,'Prijava ekipa i izvlačenje br.'!$D13,IF(COUNTIF('Prijava ekipa i izvlačenje br.'!$H13,"C")=1,'Prijava ekipa i izvlačenje br.'!$G13,IF(COUNTIF('Prijava ekipa i izvlačenje br.'!$K13,"C")=1,'Prijava ekipa i izvlačenje br.'!$J13,IF(COUNTIF('Prijava ekipa i izvlačenje br.'!$N13,"C")=1,'Prijava ekipa i izvlačenje br.'!$M13,IF(COUNTIF('Prijava ekipa i izvlačenje br.'!$Q13,"C")=1,'Prijava ekipa i izvlačenje br.'!$P13,"")))))</f>
        <v>Siniša Finek</v>
      </c>
      <c r="H14" s="237">
        <f>IF(ISBLANK('Upis rezultata C sektora'!F13)=TRUE,"",'Upis rezultata C sektora'!F13)</f>
        <v>4500</v>
      </c>
      <c r="I14" s="238" t="str">
        <f>IF(COUNTIF('Prijava ekipa i izvlačenje br.'!$E13,"D")=1,'Prijava ekipa i izvlačenje br.'!$D13,IF(COUNTIF('Prijava ekipa i izvlačenje br.'!$H13,"D")=1,'Prijava ekipa i izvlačenje br.'!$G13,IF(COUNTIF('Prijava ekipa i izvlačenje br.'!$K13,"D")=1,'Prijava ekipa i izvlačenje br.'!$J13,IF(COUNTIF('Prijava ekipa i izvlačenje br.'!$N13,"D")=1,'Prijava ekipa i izvlačenje br.'!$M13,IF(COUNTIF('Prijava ekipa i izvlačenje br.'!$Q13,"D")=1,'Prijava ekipa i izvlačenje br.'!$P13,"")))))</f>
        <v>Mario Akmačić</v>
      </c>
      <c r="J14" s="237">
        <f>IF(ISBLANK('Upis rezultata D sektora'!F13)=TRUE,"",'Upis rezultata D sektora'!F13)</f>
        <v>2970</v>
      </c>
      <c r="K14" s="238" t="str">
        <f>IF(COUNTIF('Prijava ekipa i izvlačenje br.'!$E13,"E")=1,'Prijava ekipa i izvlačenje br.'!$D13,IF(COUNTIF('Prijava ekipa i izvlačenje br.'!$H13,"E")=1,'Prijava ekipa i izvlačenje br.'!$G13,IF(COUNTIF('Prijava ekipa i izvlačenje br.'!$K13,"E")=1,'Prijava ekipa i izvlačenje br.'!$J13,IF(COUNTIF('Prijava ekipa i izvlačenje br.'!$N13,"E")=1,'Prijava ekipa i izvlačenje br.'!$M13,IF(COUNTIF('Prijava ekipa i izvlačenje br.'!$Q13,"E")=1,'Prijava ekipa i izvlačenje br.'!$P13,"")))))</f>
        <v>Ivan Finek</v>
      </c>
      <c r="L14" s="237">
        <f>IF(ISBLANK('Upis rezultata E sektora'!F13)=TRUE,"",'Upis rezultata E sektora'!F13)</f>
        <v>3800</v>
      </c>
      <c r="M14" s="246"/>
      <c r="N14" s="247"/>
      <c r="O14" s="248"/>
      <c r="P14" s="248"/>
      <c r="Q14" s="248"/>
      <c r="R14" s="249"/>
      <c r="S14" s="68"/>
      <c r="T14" s="68"/>
    </row>
  </sheetData>
  <sheetProtection password="C7E2" sheet="1" objects="1" scenarios="1"/>
  <mergeCells count="5">
    <mergeCell ref="K2:L2"/>
    <mergeCell ref="C2:D2"/>
    <mergeCell ref="E2:F2"/>
    <mergeCell ref="G2:H2"/>
    <mergeCell ref="I2:J2"/>
  </mergeCells>
  <printOptions horizontalCentered="1"/>
  <pageMargins left="0.71" right="0.5118110236220472" top="0.5118110236220472" bottom="0.2755905511811024" header="0.2362204724409449" footer="0.3937007874015748"/>
  <pageSetup horizontalDpi="300" verticalDpi="300" orientation="landscape" paperSize="9" scale="50" r:id="rId2"/>
  <headerFooter alignWithMargins="0">
    <oddHeader>&amp;C&amp;"Arial,Podebljano"&amp;20DIJAGRAM TEŽINE</oddHeader>
    <oddFooter>&amp;C&amp;"Arial,Kurziv"&amp;16&amp;YProgram za izračun rezultata i provođenje natjecanja&amp;R&amp;18&amp;D  &amp;T h</oddFooter>
  </headerFooter>
  <drawing r:id="rId1"/>
</worksheet>
</file>

<file path=xl/worksheets/sheet27.xml><?xml version="1.0" encoding="utf-8"?>
<worksheet xmlns="http://schemas.openxmlformats.org/spreadsheetml/2006/main" xmlns:r="http://schemas.openxmlformats.org/officeDocument/2006/relationships">
  <sheetPr codeName="Sheet4">
    <tabColor indexed="11"/>
  </sheetPr>
  <dimension ref="B1:L49"/>
  <sheetViews>
    <sheetView showGridLines="0" showRowColHeaders="0" zoomScalePageLayoutView="0" workbookViewId="0" topLeftCell="A1">
      <selection activeCell="L18" sqref="L18"/>
    </sheetView>
  </sheetViews>
  <sheetFormatPr defaultColWidth="9.140625" defaultRowHeight="12.75"/>
  <cols>
    <col min="1" max="1" width="9.140625" style="202" customWidth="1"/>
    <col min="2" max="2" width="10.00390625" style="202" customWidth="1"/>
    <col min="3" max="16384" width="9.140625" style="202" customWidth="1"/>
  </cols>
  <sheetData>
    <row r="1" spans="2:10" ht="12.75">
      <c r="B1" s="199"/>
      <c r="C1" s="199"/>
      <c r="D1" s="199"/>
      <c r="E1" s="200"/>
      <c r="F1" s="201" t="s">
        <v>226</v>
      </c>
      <c r="G1" s="199"/>
      <c r="H1" s="199"/>
      <c r="I1" s="199"/>
      <c r="J1" s="199"/>
    </row>
    <row r="2" spans="2:10" ht="12.75">
      <c r="B2" s="203" t="s">
        <v>227</v>
      </c>
      <c r="D2" s="201"/>
      <c r="E2" s="200"/>
      <c r="F2" s="199"/>
      <c r="G2" s="199"/>
      <c r="H2" s="199"/>
      <c r="I2" s="199"/>
      <c r="J2" s="199"/>
    </row>
    <row r="3" spans="2:10" ht="12.75">
      <c r="B3" s="203" t="s">
        <v>228</v>
      </c>
      <c r="C3" s="199"/>
      <c r="D3" s="199"/>
      <c r="E3" s="200"/>
      <c r="F3" s="199"/>
      <c r="G3" s="199"/>
      <c r="H3" s="363"/>
      <c r="I3" s="364"/>
      <c r="J3" s="363"/>
    </row>
    <row r="4" spans="2:10" ht="12.75">
      <c r="B4" s="199"/>
      <c r="C4" s="199"/>
      <c r="D4" s="199"/>
      <c r="E4" s="200"/>
      <c r="F4" s="199"/>
      <c r="G4" s="199"/>
      <c r="H4" s="199"/>
      <c r="I4" s="204" t="s">
        <v>58</v>
      </c>
      <c r="J4" s="199"/>
    </row>
    <row r="5" spans="2:10" ht="12.75">
      <c r="B5" s="199"/>
      <c r="C5" s="199"/>
      <c r="D5" s="199"/>
      <c r="E5" s="200"/>
      <c r="F5" s="199"/>
      <c r="G5" s="199"/>
      <c r="H5" s="199"/>
      <c r="I5" s="205"/>
      <c r="J5" s="199"/>
    </row>
    <row r="6" spans="2:10" s="208" customFormat="1" ht="18">
      <c r="B6" s="206"/>
      <c r="C6" s="206"/>
      <c r="D6" s="206"/>
      <c r="E6" s="207"/>
      <c r="G6" s="209" t="s">
        <v>59</v>
      </c>
      <c r="I6" s="206"/>
      <c r="J6" s="206"/>
    </row>
    <row r="7" spans="2:10" ht="12.75">
      <c r="B7" s="199"/>
      <c r="C7" s="199"/>
      <c r="D7" s="199"/>
      <c r="E7" s="200"/>
      <c r="G7" s="199"/>
      <c r="H7" s="199"/>
      <c r="I7" s="199"/>
      <c r="J7" s="199"/>
    </row>
    <row r="8" spans="2:10" ht="18">
      <c r="B8" s="199"/>
      <c r="E8" s="199" t="s">
        <v>60</v>
      </c>
      <c r="G8" s="365"/>
      <c r="H8" s="366"/>
      <c r="I8" s="363"/>
      <c r="J8" s="363"/>
    </row>
    <row r="9" spans="2:10" ht="12.75">
      <c r="B9" s="199"/>
      <c r="E9" s="199"/>
      <c r="H9" s="204"/>
      <c r="I9" s="199"/>
      <c r="J9" s="199"/>
    </row>
    <row r="10" spans="2:10" ht="12.75">
      <c r="B10" s="199"/>
      <c r="E10" s="199"/>
      <c r="H10" s="199"/>
      <c r="I10" s="199"/>
      <c r="J10" s="199"/>
    </row>
    <row r="11" spans="2:10" ht="18">
      <c r="B11" s="199"/>
      <c r="E11" s="199" t="s">
        <v>61</v>
      </c>
      <c r="G11" s="365"/>
      <c r="H11" s="367"/>
      <c r="I11" s="363"/>
      <c r="J11" s="363"/>
    </row>
    <row r="12" spans="2:10" ht="12.75">
      <c r="B12" s="199"/>
      <c r="E12" s="199"/>
      <c r="H12" s="199"/>
      <c r="I12" s="199"/>
      <c r="J12" s="199"/>
    </row>
    <row r="13" spans="2:10" ht="18">
      <c r="B13" s="199"/>
      <c r="E13" s="199" t="s">
        <v>62</v>
      </c>
      <c r="G13" s="365"/>
      <c r="H13" s="367"/>
      <c r="I13" s="364"/>
      <c r="J13" s="363"/>
    </row>
    <row r="14" spans="2:10" ht="12.75">
      <c r="B14" s="199"/>
      <c r="C14" s="199"/>
      <c r="D14" s="199"/>
      <c r="E14" s="200"/>
      <c r="F14" s="199"/>
      <c r="G14" s="199"/>
      <c r="H14" s="199"/>
      <c r="I14" s="199"/>
      <c r="J14" s="199"/>
    </row>
    <row r="15" spans="2:10" s="211" customFormat="1" ht="17.25" customHeight="1">
      <c r="B15" s="210" t="s">
        <v>63</v>
      </c>
      <c r="C15" s="532" t="s">
        <v>64</v>
      </c>
      <c r="D15" s="534"/>
      <c r="E15" s="533"/>
      <c r="F15" s="210" t="s">
        <v>65</v>
      </c>
      <c r="G15" s="532" t="s">
        <v>229</v>
      </c>
      <c r="H15" s="533"/>
      <c r="I15" s="532" t="s">
        <v>66</v>
      </c>
      <c r="J15" s="533"/>
    </row>
    <row r="16" spans="2:12" ht="26.25" customHeight="1">
      <c r="B16" s="212"/>
      <c r="C16" s="528"/>
      <c r="D16" s="529"/>
      <c r="E16" s="530"/>
      <c r="F16" s="212"/>
      <c r="G16" s="518"/>
      <c r="H16" s="519"/>
      <c r="I16" s="524"/>
      <c r="J16" s="525"/>
      <c r="L16" s="362"/>
    </row>
    <row r="17" spans="2:10" ht="26.25" customHeight="1">
      <c r="B17" s="212"/>
      <c r="C17" s="515" t="s">
        <v>230</v>
      </c>
      <c r="D17" s="516"/>
      <c r="E17" s="517"/>
      <c r="F17" s="213"/>
      <c r="G17" s="520"/>
      <c r="H17" s="521"/>
      <c r="I17" s="524"/>
      <c r="J17" s="525"/>
    </row>
    <row r="18" spans="2:10" ht="26.25" customHeight="1">
      <c r="B18" s="212"/>
      <c r="C18" s="515" t="s">
        <v>230</v>
      </c>
      <c r="D18" s="516"/>
      <c r="E18" s="517"/>
      <c r="F18" s="216"/>
      <c r="G18" s="520"/>
      <c r="H18" s="521"/>
      <c r="I18" s="524"/>
      <c r="J18" s="525"/>
    </row>
    <row r="19" spans="2:10" ht="26.25" customHeight="1">
      <c r="B19" s="212"/>
      <c r="C19" s="515" t="s">
        <v>230</v>
      </c>
      <c r="D19" s="516"/>
      <c r="E19" s="517"/>
      <c r="F19" s="216"/>
      <c r="G19" s="520"/>
      <c r="H19" s="521"/>
      <c r="I19" s="526"/>
      <c r="J19" s="527"/>
    </row>
    <row r="20" spans="2:10" ht="26.25" customHeight="1">
      <c r="B20" s="212"/>
      <c r="C20" s="515" t="s">
        <v>230</v>
      </c>
      <c r="D20" s="516"/>
      <c r="E20" s="517"/>
      <c r="F20" s="216"/>
      <c r="G20" s="520"/>
      <c r="H20" s="521"/>
      <c r="I20" s="526"/>
      <c r="J20" s="527"/>
    </row>
    <row r="21" spans="2:10" ht="26.25" customHeight="1">
      <c r="B21" s="217" t="s">
        <v>67</v>
      </c>
      <c r="C21" s="515" t="s">
        <v>230</v>
      </c>
      <c r="D21" s="516"/>
      <c r="E21" s="517"/>
      <c r="F21" s="218" t="s">
        <v>68</v>
      </c>
      <c r="G21" s="522"/>
      <c r="H21" s="523"/>
      <c r="I21" s="532" t="s">
        <v>68</v>
      </c>
      <c r="J21" s="533"/>
    </row>
    <row r="22" spans="2:10" ht="26.25" customHeight="1">
      <c r="B22" s="219"/>
      <c r="C22" s="214"/>
      <c r="D22" s="220"/>
      <c r="E22" s="220"/>
      <c r="F22" s="221"/>
      <c r="G22" s="214"/>
      <c r="H22" s="214"/>
      <c r="I22" s="222"/>
      <c r="J22" s="222"/>
    </row>
    <row r="23" spans="2:10" ht="12.75">
      <c r="B23" s="199"/>
      <c r="C23" s="199"/>
      <c r="D23" s="199"/>
      <c r="E23" s="200"/>
      <c r="F23" s="199"/>
      <c r="G23" s="199"/>
      <c r="H23" s="199"/>
      <c r="I23" s="199"/>
      <c r="J23" s="199"/>
    </row>
    <row r="24" spans="2:10" ht="12.75">
      <c r="B24" s="199"/>
      <c r="C24" s="199"/>
      <c r="D24" s="199"/>
      <c r="E24" s="200"/>
      <c r="F24" s="201" t="s">
        <v>226</v>
      </c>
      <c r="G24" s="199"/>
      <c r="H24" s="199"/>
      <c r="I24" s="199"/>
      <c r="J24" s="199"/>
    </row>
    <row r="25" spans="2:10" ht="12.75">
      <c r="B25" s="203" t="s">
        <v>227</v>
      </c>
      <c r="D25" s="201"/>
      <c r="E25" s="200"/>
      <c r="F25" s="199"/>
      <c r="G25" s="199"/>
      <c r="H25" s="199"/>
      <c r="I25" s="199"/>
      <c r="J25" s="199"/>
    </row>
    <row r="26" spans="2:10" ht="12.75">
      <c r="B26" s="203" t="s">
        <v>228</v>
      </c>
      <c r="C26" s="199"/>
      <c r="D26" s="199"/>
      <c r="E26" s="200"/>
      <c r="F26" s="199"/>
      <c r="G26" s="199"/>
      <c r="H26" s="363"/>
      <c r="I26" s="364"/>
      <c r="J26" s="363"/>
    </row>
    <row r="27" spans="2:10" ht="12.75">
      <c r="B27" s="199"/>
      <c r="C27" s="199"/>
      <c r="D27" s="199"/>
      <c r="E27" s="200"/>
      <c r="F27" s="199"/>
      <c r="G27" s="199"/>
      <c r="H27" s="199"/>
      <c r="I27" s="204" t="s">
        <v>58</v>
      </c>
      <c r="J27" s="199"/>
    </row>
    <row r="28" spans="2:10" ht="12.75">
      <c r="B28" s="199"/>
      <c r="C28" s="199"/>
      <c r="D28" s="199"/>
      <c r="E28" s="200"/>
      <c r="F28" s="199"/>
      <c r="G28" s="199"/>
      <c r="H28" s="199"/>
      <c r="I28" s="205"/>
      <c r="J28" s="199"/>
    </row>
    <row r="29" spans="2:10" ht="18">
      <c r="B29" s="206"/>
      <c r="C29" s="206"/>
      <c r="D29" s="206"/>
      <c r="E29" s="207"/>
      <c r="F29" s="208"/>
      <c r="G29" s="209" t="s">
        <v>59</v>
      </c>
      <c r="H29" s="208"/>
      <c r="I29" s="206"/>
      <c r="J29" s="206"/>
    </row>
    <row r="30" spans="2:10" s="223" customFormat="1" ht="12.75">
      <c r="B30" s="199"/>
      <c r="C30" s="199"/>
      <c r="D30" s="199"/>
      <c r="E30" s="200"/>
      <c r="F30" s="202"/>
      <c r="G30" s="199"/>
      <c r="H30" s="199"/>
      <c r="I30" s="199"/>
      <c r="J30" s="199"/>
    </row>
    <row r="31" spans="2:10" s="223" customFormat="1" ht="18">
      <c r="B31" s="199"/>
      <c r="C31" s="202"/>
      <c r="D31" s="202"/>
      <c r="E31" s="199" t="s">
        <v>60</v>
      </c>
      <c r="F31" s="202"/>
      <c r="G31" s="365"/>
      <c r="H31" s="366"/>
      <c r="I31" s="363"/>
      <c r="J31" s="363"/>
    </row>
    <row r="32" spans="2:10" s="223" customFormat="1" ht="12.75">
      <c r="B32" s="199"/>
      <c r="C32" s="202"/>
      <c r="D32" s="202"/>
      <c r="E32" s="199"/>
      <c r="F32" s="202"/>
      <c r="G32" s="202"/>
      <c r="H32" s="204"/>
      <c r="I32" s="199"/>
      <c r="J32" s="199"/>
    </row>
    <row r="33" spans="2:10" s="223" customFormat="1" ht="12.75">
      <c r="B33" s="199"/>
      <c r="C33" s="202"/>
      <c r="D33" s="202"/>
      <c r="E33" s="199"/>
      <c r="F33" s="202"/>
      <c r="G33" s="202"/>
      <c r="H33" s="199"/>
      <c r="I33" s="199"/>
      <c r="J33" s="199"/>
    </row>
    <row r="34" spans="2:10" s="223" customFormat="1" ht="18">
      <c r="B34" s="199"/>
      <c r="C34" s="202"/>
      <c r="D34" s="202"/>
      <c r="E34" s="199" t="s">
        <v>61</v>
      </c>
      <c r="F34" s="202"/>
      <c r="G34" s="365"/>
      <c r="H34" s="367"/>
      <c r="I34" s="363"/>
      <c r="J34" s="363"/>
    </row>
    <row r="35" spans="2:10" s="223" customFormat="1" ht="12.75">
      <c r="B35" s="199"/>
      <c r="C35" s="202"/>
      <c r="D35" s="202"/>
      <c r="E35" s="199"/>
      <c r="F35" s="202"/>
      <c r="G35" s="202"/>
      <c r="H35" s="199"/>
      <c r="I35" s="199"/>
      <c r="J35" s="199"/>
    </row>
    <row r="36" spans="2:10" s="223" customFormat="1" ht="18">
      <c r="B36" s="199"/>
      <c r="C36" s="202"/>
      <c r="D36" s="202"/>
      <c r="E36" s="199" t="s">
        <v>62</v>
      </c>
      <c r="F36" s="202"/>
      <c r="G36" s="365"/>
      <c r="H36" s="367"/>
      <c r="I36" s="364"/>
      <c r="J36" s="363"/>
    </row>
    <row r="37" spans="2:10" s="223" customFormat="1" ht="12.75">
      <c r="B37" s="199"/>
      <c r="C37" s="199"/>
      <c r="D37" s="199"/>
      <c r="E37" s="200"/>
      <c r="F37" s="199"/>
      <c r="G37" s="199"/>
      <c r="H37" s="199"/>
      <c r="I37" s="199"/>
      <c r="J37" s="199"/>
    </row>
    <row r="38" spans="2:10" s="223" customFormat="1" ht="17.25" customHeight="1">
      <c r="B38" s="210" t="s">
        <v>63</v>
      </c>
      <c r="C38" s="532" t="s">
        <v>64</v>
      </c>
      <c r="D38" s="534"/>
      <c r="E38" s="533"/>
      <c r="F38" s="210" t="s">
        <v>65</v>
      </c>
      <c r="G38" s="532" t="s">
        <v>229</v>
      </c>
      <c r="H38" s="533"/>
      <c r="I38" s="532" t="s">
        <v>66</v>
      </c>
      <c r="J38" s="533"/>
    </row>
    <row r="39" spans="2:10" s="223" customFormat="1" ht="26.25" customHeight="1">
      <c r="B39" s="212"/>
      <c r="C39" s="528"/>
      <c r="D39" s="529"/>
      <c r="E39" s="530"/>
      <c r="F39" s="212"/>
      <c r="G39" s="518"/>
      <c r="H39" s="519"/>
      <c r="I39" s="524"/>
      <c r="J39" s="525"/>
    </row>
    <row r="40" spans="2:10" s="223" customFormat="1" ht="26.25" customHeight="1">
      <c r="B40" s="212"/>
      <c r="C40" s="515" t="s">
        <v>230</v>
      </c>
      <c r="D40" s="516"/>
      <c r="E40" s="517"/>
      <c r="F40" s="213"/>
      <c r="G40" s="520"/>
      <c r="H40" s="521"/>
      <c r="I40" s="524"/>
      <c r="J40" s="525"/>
    </row>
    <row r="41" spans="2:10" s="223" customFormat="1" ht="26.25" customHeight="1">
      <c r="B41" s="212"/>
      <c r="C41" s="515" t="s">
        <v>230</v>
      </c>
      <c r="D41" s="516"/>
      <c r="E41" s="517"/>
      <c r="F41" s="216"/>
      <c r="G41" s="520"/>
      <c r="H41" s="521"/>
      <c r="I41" s="524"/>
      <c r="J41" s="525"/>
    </row>
    <row r="42" spans="2:10" s="223" customFormat="1" ht="26.25" customHeight="1">
      <c r="B42" s="212"/>
      <c r="C42" s="515" t="s">
        <v>230</v>
      </c>
      <c r="D42" s="516"/>
      <c r="E42" s="517"/>
      <c r="F42" s="216"/>
      <c r="G42" s="520"/>
      <c r="H42" s="521"/>
      <c r="I42" s="526"/>
      <c r="J42" s="527"/>
    </row>
    <row r="43" spans="2:10" s="223" customFormat="1" ht="26.25" customHeight="1">
      <c r="B43" s="212"/>
      <c r="C43" s="515" t="s">
        <v>230</v>
      </c>
      <c r="D43" s="516"/>
      <c r="E43" s="517"/>
      <c r="F43" s="216"/>
      <c r="G43" s="520"/>
      <c r="H43" s="521"/>
      <c r="I43" s="526"/>
      <c r="J43" s="527"/>
    </row>
    <row r="44" spans="2:10" s="223" customFormat="1" ht="26.25" customHeight="1">
      <c r="B44" s="217" t="s">
        <v>67</v>
      </c>
      <c r="C44" s="515" t="s">
        <v>230</v>
      </c>
      <c r="D44" s="516"/>
      <c r="E44" s="517"/>
      <c r="F44" s="218" t="s">
        <v>68</v>
      </c>
      <c r="G44" s="522"/>
      <c r="H44" s="523"/>
      <c r="I44" s="532" t="s">
        <v>68</v>
      </c>
      <c r="J44" s="533"/>
    </row>
    <row r="45" spans="2:10" s="223" customFormat="1" ht="15">
      <c r="B45" s="224"/>
      <c r="C45" s="214"/>
      <c r="D45" s="215"/>
      <c r="E45" s="225"/>
      <c r="F45" s="224"/>
      <c r="G45" s="214"/>
      <c r="H45" s="214"/>
      <c r="I45" s="226"/>
      <c r="J45" s="214"/>
    </row>
    <row r="46" spans="2:10" s="223" customFormat="1" ht="15">
      <c r="B46" s="224"/>
      <c r="C46" s="214"/>
      <c r="D46" s="215"/>
      <c r="E46" s="225"/>
      <c r="F46" s="224"/>
      <c r="G46" s="226"/>
      <c r="H46" s="214"/>
      <c r="I46" s="226"/>
      <c r="J46" s="214"/>
    </row>
    <row r="47" spans="2:10" s="223" customFormat="1" ht="15">
      <c r="B47" s="224"/>
      <c r="C47" s="214"/>
      <c r="D47" s="215"/>
      <c r="E47" s="225"/>
      <c r="F47" s="224"/>
      <c r="G47" s="214"/>
      <c r="H47" s="214"/>
      <c r="I47" s="227"/>
      <c r="J47" s="214"/>
    </row>
    <row r="48" spans="2:10" s="223" customFormat="1" ht="15">
      <c r="B48" s="224"/>
      <c r="C48" s="214"/>
      <c r="D48" s="215"/>
      <c r="E48" s="225"/>
      <c r="F48" s="224"/>
      <c r="G48" s="214"/>
      <c r="H48" s="214"/>
      <c r="I48" s="227"/>
      <c r="J48" s="214"/>
    </row>
    <row r="49" spans="2:10" s="223" customFormat="1" ht="15">
      <c r="B49" s="214"/>
      <c r="C49" s="214"/>
      <c r="D49" s="531"/>
      <c r="E49" s="531"/>
      <c r="F49" s="531"/>
      <c r="G49" s="214"/>
      <c r="H49" s="214"/>
      <c r="I49" s="228"/>
      <c r="J49" s="214"/>
    </row>
  </sheetData>
  <sheetProtection password="C7E2" sheet="1" objects="1" scenarios="1"/>
  <mergeCells count="33">
    <mergeCell ref="I38:J38"/>
    <mergeCell ref="I44:J44"/>
    <mergeCell ref="C16:E16"/>
    <mergeCell ref="C18:E18"/>
    <mergeCell ref="C19:E19"/>
    <mergeCell ref="C20:E20"/>
    <mergeCell ref="D49:F49"/>
    <mergeCell ref="I21:J21"/>
    <mergeCell ref="G15:H15"/>
    <mergeCell ref="I15:J15"/>
    <mergeCell ref="C15:E15"/>
    <mergeCell ref="C38:E38"/>
    <mergeCell ref="G38:H38"/>
    <mergeCell ref="C41:E41"/>
    <mergeCell ref="C42:E42"/>
    <mergeCell ref="C21:E21"/>
    <mergeCell ref="G16:H21"/>
    <mergeCell ref="I16:J16"/>
    <mergeCell ref="I17:J17"/>
    <mergeCell ref="I18:J18"/>
    <mergeCell ref="I19:J19"/>
    <mergeCell ref="I20:J20"/>
    <mergeCell ref="C17:E17"/>
    <mergeCell ref="C43:E43"/>
    <mergeCell ref="C44:E44"/>
    <mergeCell ref="G39:H44"/>
    <mergeCell ref="I39:J39"/>
    <mergeCell ref="I40:J40"/>
    <mergeCell ref="I41:J41"/>
    <mergeCell ref="I42:J42"/>
    <mergeCell ref="I43:J43"/>
    <mergeCell ref="C39:E39"/>
    <mergeCell ref="C40:E40"/>
  </mergeCells>
  <printOptions horizontalCentered="1" verticalCentered="1"/>
  <pageMargins left="0.67" right="0.6299212598425197" top="0.4330708661417323" bottom="0.49" header="0.35433070866141736" footer="0.4724409448818898"/>
  <pageSetup horizontalDpi="300" verticalDpi="3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codeName="Sheet21">
    <tabColor indexed="34"/>
  </sheetPr>
  <dimension ref="A1:K37"/>
  <sheetViews>
    <sheetView showRowColHeaders="0" zoomScalePageLayoutView="0" workbookViewId="0" topLeftCell="A41">
      <selection activeCell="G59" sqref="G59"/>
    </sheetView>
  </sheetViews>
  <sheetFormatPr defaultColWidth="9.140625" defaultRowHeight="12.75"/>
  <cols>
    <col min="1" max="1" width="9.140625" style="6" customWidth="1"/>
    <col min="2" max="2" width="14.00390625" style="6" customWidth="1"/>
    <col min="3" max="3" width="14.140625" style="6" customWidth="1"/>
    <col min="4" max="4" width="9.140625" style="6" customWidth="1"/>
    <col min="5" max="5" width="10.7109375" style="6" customWidth="1"/>
    <col min="6" max="16384" width="9.140625" style="6" customWidth="1"/>
  </cols>
  <sheetData>
    <row r="1" ht="12.75">
      <c r="D1" s="7" t="s">
        <v>39</v>
      </c>
    </row>
    <row r="2" spans="5:6" ht="12.75">
      <c r="E2" s="7"/>
      <c r="F2" s="8"/>
    </row>
    <row r="3" ht="12.75">
      <c r="A3" s="6" t="s">
        <v>40</v>
      </c>
    </row>
    <row r="4" ht="12.75">
      <c r="A4" s="6" t="s">
        <v>41</v>
      </c>
    </row>
    <row r="5" ht="12.75">
      <c r="A5" s="6" t="s">
        <v>42</v>
      </c>
    </row>
    <row r="6" ht="12.75">
      <c r="A6" s="6" t="s">
        <v>43</v>
      </c>
    </row>
    <row r="7" ht="12.75">
      <c r="A7" s="6" t="s">
        <v>44</v>
      </c>
    </row>
    <row r="8" ht="12.75">
      <c r="A8" s="6" t="s">
        <v>45</v>
      </c>
    </row>
    <row r="9" ht="12.75">
      <c r="A9" s="6" t="s">
        <v>46</v>
      </c>
    </row>
    <row r="10" ht="12.75" hidden="1">
      <c r="K10" s="8"/>
    </row>
    <row r="11" ht="12.75" hidden="1"/>
    <row r="12" ht="12.75" hidden="1"/>
    <row r="13" ht="12.75" hidden="1"/>
    <row r="14" spans="1:7" ht="12.75" hidden="1">
      <c r="A14" s="7" t="s">
        <v>47</v>
      </c>
      <c r="B14" s="6" t="str">
        <f>IF(ISBLANK('Organizacija natjecanja'!H18)=TRUE,"",'Organizacija natjecanja'!H18)</f>
        <v>Pavao Umnik</v>
      </c>
      <c r="C14" s="6" t="str">
        <f>'Organizacija natjecanja'!E7</f>
        <v>Organizator natjecanja:</v>
      </c>
      <c r="E14" s="6" t="str">
        <f>IF(ISBLANK('Organizacija natjecanja'!H7)=TRUE,"",'Organizacija natjecanja'!H7)</f>
        <v>ŠRS Požeško slavonske županije</v>
      </c>
      <c r="G14" s="6" t="s">
        <v>48</v>
      </c>
    </row>
    <row r="15" spans="1:7" ht="12.75" hidden="1">
      <c r="A15" s="7" t="s">
        <v>49</v>
      </c>
      <c r="B15" s="6" t="str">
        <f>IF(ISBLANK('Organizacija natjecanja'!H14)=TRUE,"",'Organizacija natjecanja'!H14)</f>
        <v>Željko Ljevaković</v>
      </c>
      <c r="C15" s="6" t="str">
        <f>'Organizacija natjecanja'!E13</f>
        <v>Domaćin natjecanja:</v>
      </c>
      <c r="E15" s="6" t="str">
        <f>IF(ISBLANK('Organizacija natjecanja'!H13)=TRUE,"",'Organizacija natjecanja'!H13)</f>
        <v>ŠRD Pakrac Pakrac</v>
      </c>
      <c r="G15" s="6" t="s">
        <v>50</v>
      </c>
    </row>
    <row r="16" spans="1:7" ht="12.75" hidden="1">
      <c r="A16" s="7" t="s">
        <v>51</v>
      </c>
      <c r="B16" s="6" t="str">
        <f>IF(ISBLANK('Organizacija natjecanja'!H16)=TRUE,"",'Organizacija natjecanja'!H16)</f>
        <v>Antun Kedmenec</v>
      </c>
      <c r="C16" s="6" t="str">
        <f>'Organizacija natjecanja'!E16</f>
        <v>Vrhovni sudac:</v>
      </c>
      <c r="G16" s="6" t="s">
        <v>50</v>
      </c>
    </row>
    <row r="17" spans="1:7" ht="12.75" hidden="1">
      <c r="A17" s="7" t="s">
        <v>52</v>
      </c>
      <c r="B17" s="9" t="str">
        <f>VLOOKUP(SMALL($A$26:$A$37,1),$A$26:$D$37,3,FALSE)</f>
        <v>Zvonko Botić</v>
      </c>
      <c r="C17" s="9" t="str">
        <f>VLOOKUP(SMALL($A$26:$A$37,1),$A$26:$D$37,4,FALSE)</f>
        <v>TPK Zagreb</v>
      </c>
      <c r="D17" s="10"/>
      <c r="E17" s="9" t="s">
        <v>161</v>
      </c>
      <c r="F17" s="123">
        <f>SMALL($A$26:$A$37,1)</f>
        <v>1</v>
      </c>
      <c r="G17" s="6" t="s">
        <v>50</v>
      </c>
    </row>
    <row r="18" spans="1:7" ht="12.75" hidden="1">
      <c r="A18" s="7" t="s">
        <v>53</v>
      </c>
      <c r="B18" s="9" t="str">
        <f>VLOOKUP(SMALL($A$26:$A$37,2),$A$26:$D$37,3,FALSE)</f>
        <v>Egon Kovačić</v>
      </c>
      <c r="C18" s="9" t="str">
        <f>VLOOKUP(SMALL($A$26:$A$37,2),$A$26:$D$37,4,FALSE)</f>
        <v>Azzuro Varaždin</v>
      </c>
      <c r="D18" s="10"/>
      <c r="E18" s="9" t="s">
        <v>161</v>
      </c>
      <c r="F18" s="123">
        <f>SMALL($A$26:$A$37,2)</f>
        <v>4</v>
      </c>
      <c r="G18" s="6" t="s">
        <v>50</v>
      </c>
    </row>
    <row r="19" spans="1:7" ht="12.75" hidden="1">
      <c r="A19" s="7" t="s">
        <v>54</v>
      </c>
      <c r="B19" s="9" t="str">
        <f>VLOOKUP(SMALL($A$26:$A$37,3),$A$26:$D$37,3,FALSE)</f>
        <v>Tihomir Đurić</v>
      </c>
      <c r="C19" s="9" t="str">
        <f>VLOOKUP(SMALL($A$26:$A$37,3),$A$26:$D$37,4,FALSE)</f>
        <v>Klen N.Gradiška</v>
      </c>
      <c r="D19" s="10"/>
      <c r="E19" s="9" t="s">
        <v>161</v>
      </c>
      <c r="F19" s="123">
        <f>SMALL($A$26:$A$37,3)</f>
        <v>6</v>
      </c>
      <c r="G19" s="6" t="s">
        <v>50</v>
      </c>
    </row>
    <row r="20" spans="1:7" ht="12.75" hidden="1">
      <c r="A20" s="7" t="s">
        <v>55</v>
      </c>
      <c r="B20" s="9" t="str">
        <f>VLOOKUP(SMALL($A$26:$A$37,4),$A$26:$D$37,3,FALSE)</f>
        <v>Željko Štargl</v>
      </c>
      <c r="C20" s="9" t="str">
        <f>VLOOKUP(SMALL($A$26:$A$37,4),$A$26:$D$37,4,FALSE)</f>
        <v>Štuka Torčec</v>
      </c>
      <c r="D20" s="10"/>
      <c r="E20" s="9" t="s">
        <v>161</v>
      </c>
      <c r="F20" s="123">
        <f>SMALL($A$26:$A$37,4)</f>
        <v>7</v>
      </c>
      <c r="G20" s="6" t="s">
        <v>50</v>
      </c>
    </row>
    <row r="21" spans="2:6" ht="12.75" hidden="1">
      <c r="B21" s="9"/>
      <c r="C21" s="9"/>
      <c r="D21" s="9"/>
      <c r="E21" s="9"/>
      <c r="F21" s="9"/>
    </row>
    <row r="22" ht="12.75" hidden="1"/>
    <row r="23" spans="1:7" ht="12.75" hidden="1">
      <c r="A23" s="11"/>
      <c r="B23" s="12"/>
      <c r="C23" s="12"/>
      <c r="D23" s="12"/>
      <c r="E23" s="12"/>
      <c r="F23" s="12"/>
      <c r="G23" s="12"/>
    </row>
    <row r="24" ht="12.75" hidden="1"/>
    <row r="25" spans="1:4" ht="22.5" hidden="1">
      <c r="A25" s="13" t="s">
        <v>20</v>
      </c>
      <c r="B25" s="14" t="s">
        <v>56</v>
      </c>
      <c r="C25" s="15" t="s">
        <v>57</v>
      </c>
      <c r="D25" s="15" t="s">
        <v>21</v>
      </c>
    </row>
    <row r="26" spans="1:4" ht="12.75" hidden="1">
      <c r="A26" s="7">
        <f>IF(AND(ISNUMBER('Prijava ekipa i izvlačenje br.'!B13)=TRUE,COUNTIF(B26,"kapetan")=1),'Prijava ekipa i izvlačenje br.'!B13,"")</f>
      </c>
      <c r="B26" s="16">
        <f>IF(ISBLANK('Prijava ekipa i izvlačenje br.'!S13)=TRUE,"",IF(OR(EXACT('Prijava ekipa i izvlačenje br.'!D13,'Prijava ekipa i izvlačenje br.'!S13),EXACT('Prijava ekipa i izvlačenje br.'!G13,'Prijava ekipa i izvlačenje br.'!S13),EXACT('Prijava ekipa i izvlačenje br.'!J13,'Prijava ekipa i izvlačenje br.'!S13),EXACT('Prijava ekipa i izvlačenje br.'!M13,'Prijava ekipa i izvlačenje br.'!S13),EXACT('Prijava ekipa i izvlačenje br.'!P13,'Prijava ekipa i izvlačenje br.'!S13)=TRUE),"","kapetan"))</f>
      </c>
      <c r="C26" s="6">
        <f>IF(AND(ISTEXT('Prijava ekipa i izvlačenje br.'!S12)=TRUE,COUNTIF(B26,"kapetan")=1),VLOOKUP(A26,'Prijava ekipa i izvlačenje br.'!B$2:S$36,18,FALSE),"")</f>
      </c>
      <c r="D26" s="17">
        <f>IF(AND(ISTEXT('Prijava ekipa i izvlačenje br.'!C12)=TRUE,COUNTIF(B26,"kapetan")=1),VLOOKUP(A26,'Prijava ekipa i izvlačenje br.'!B$2:S$36,2,FALSE),"")</f>
      </c>
    </row>
    <row r="27" spans="1:4" ht="12.75" hidden="1">
      <c r="A27" s="7">
        <f>IF(AND(ISNUMBER('Prijava ekipa i izvlačenje br.'!B5)=TRUE,COUNTIF(B27,"kapetan")=1),'Prijava ekipa i izvlačenje br.'!B5,"")</f>
      </c>
      <c r="B27" s="16">
        <f>IF(ISBLANK('Prijava ekipa i izvlačenje br.'!S5)=TRUE,"",IF(OR(EXACT('Prijava ekipa i izvlačenje br.'!D5,'Prijava ekipa i izvlačenje br.'!S5),EXACT('Prijava ekipa i izvlačenje br.'!G5,'Prijava ekipa i izvlačenje br.'!S5),EXACT('Prijava ekipa i izvlačenje br.'!J5,'Prijava ekipa i izvlačenje br.'!S5),EXACT('Prijava ekipa i izvlačenje br.'!M5,'Prijava ekipa i izvlačenje br.'!S5),EXACT('Prijava ekipa i izvlačenje br.'!P5,'Prijava ekipa i izvlačenje br.'!S5)=TRUE),"","kapetan"))</f>
      </c>
      <c r="C27" s="6">
        <f>IF(AND(ISTEXT('Prijava ekipa i izvlačenje br.'!S4)=TRUE,COUNTIF(B27,"kapetan")=1),VLOOKUP(A27,'Prijava ekipa i izvlačenje br.'!B$2:S$36,18,FALSE),"")</f>
      </c>
      <c r="D27" s="17">
        <f>IF(AND(ISTEXT('Prijava ekipa i izvlačenje br.'!C4)=TRUE,COUNTIF(B27,"kapetan")=1),VLOOKUP(A27,'Prijava ekipa i izvlačenje br.'!B$2:S$36,2,FALSE),"")</f>
      </c>
    </row>
    <row r="28" spans="1:4" ht="12.75" hidden="1">
      <c r="A28" s="7">
        <f>IF(AND(ISNUMBER('Prijava ekipa i izvlačenje br.'!B6)=TRUE,COUNTIF(B28,"kapetan")=1),'Prijava ekipa i izvlačenje br.'!B6,"")</f>
      </c>
      <c r="B28" s="16">
        <f>IF(ISBLANK('Prijava ekipa i izvlačenje br.'!S6)=TRUE,"",IF(OR(EXACT('Prijava ekipa i izvlačenje br.'!D6,'Prijava ekipa i izvlačenje br.'!S6),EXACT('Prijava ekipa i izvlačenje br.'!G6,'Prijava ekipa i izvlačenje br.'!S6),EXACT('Prijava ekipa i izvlačenje br.'!J6,'Prijava ekipa i izvlačenje br.'!S6),EXACT('Prijava ekipa i izvlačenje br.'!M6,'Prijava ekipa i izvlačenje br.'!S6),EXACT('Prijava ekipa i izvlačenje br.'!P6,'Prijava ekipa i izvlačenje br.'!S6)=TRUE),"","kapetan"))</f>
      </c>
      <c r="C28" s="6">
        <f>IF(AND(ISTEXT('Prijava ekipa i izvlačenje br.'!S5)=TRUE,COUNTIF(B28,"kapetan")=1),VLOOKUP(A28,'Prijava ekipa i izvlačenje br.'!B$2:S$36,18,FALSE),"")</f>
      </c>
      <c r="D28" s="17">
        <f>IF(AND(ISTEXT('Prijava ekipa i izvlačenje br.'!C5)=TRUE,COUNTIF(B28,"kapetan")=1),VLOOKUP(A28,'Prijava ekipa i izvlačenje br.'!B$2:S$36,2,FALSE),"")</f>
      </c>
    </row>
    <row r="29" spans="1:4" ht="12.75" hidden="1">
      <c r="A29" s="7">
        <f>IF(AND(ISNUMBER('Prijava ekipa i izvlačenje br.'!B4)=TRUE,COUNTIF(B29,"kapetan")=1),'Prijava ekipa i izvlačenje br.'!B4,"")</f>
      </c>
      <c r="B29" s="16">
        <f>IF(ISBLANK('Prijava ekipa i izvlačenje br.'!S4)=TRUE,"",IF(OR(EXACT('Prijava ekipa i izvlačenje br.'!D4,'Prijava ekipa i izvlačenje br.'!S4),EXACT('Prijava ekipa i izvlačenje br.'!G4,'Prijava ekipa i izvlačenje br.'!S4),EXACT('Prijava ekipa i izvlačenje br.'!J4,'Prijava ekipa i izvlačenje br.'!S4),EXACT('Prijava ekipa i izvlačenje br.'!M4,'Prijava ekipa i izvlačenje br.'!S4),EXACT('Prijava ekipa i izvlačenje br.'!P4,'Prijava ekipa i izvlačenje br.'!S4)=TRUE),"","kapetan"))</f>
      </c>
      <c r="C29" s="6">
        <f>IF(AND(ISTEXT('Prijava ekipa i izvlačenje br.'!S4)=TRUE,COUNTIF(B29,"kapetan")=1),VLOOKUP(3,'Prijava ekipa i izvlačenje br.'!B$2:S$36,18,FALSE),"")</f>
      </c>
      <c r="D29" s="17">
        <f>IF(AND(ISTEXT('Prijava ekipa i izvlačenje br.'!C4)=TRUE,COUNTIF(B29,"kapetan")=1),VLOOKUP(3,'Prijava ekipa i izvlačenje br.'!B$2:S$36,2,FALSE),"")</f>
      </c>
    </row>
    <row r="30" spans="1:4" ht="12.75" hidden="1">
      <c r="A30" s="7">
        <f>IF(AND(ISNUMBER('Prijava ekipa i izvlačenje br.'!B12)=TRUE,COUNTIF(B30,"kapetan")=1),'Prijava ekipa i izvlačenje br.'!B12,"")</f>
        <v>8</v>
      </c>
      <c r="B30" s="16" t="str">
        <f>IF(ISBLANK('Prijava ekipa i izvlačenje br.'!S12)=TRUE,"",IF(OR(EXACT('Prijava ekipa i izvlačenje br.'!D12,'Prijava ekipa i izvlačenje br.'!S12),EXACT('Prijava ekipa i izvlačenje br.'!G12,'Prijava ekipa i izvlačenje br.'!S12),EXACT('Prijava ekipa i izvlačenje br.'!J12,'Prijava ekipa i izvlačenje br.'!S12),EXACT('Prijava ekipa i izvlačenje br.'!M12,'Prijava ekipa i izvlačenje br.'!S12),EXACT('Prijava ekipa i izvlačenje br.'!P12,'Prijava ekipa i izvlačenje br.'!S12)=TRUE),"","kapetan"))</f>
        <v>kapetan</v>
      </c>
      <c r="C30" s="6" t="str">
        <f>IF(AND(ISTEXT('Prijava ekipa i izvlačenje br.'!S11)=TRUE,COUNTIF(B30,"kapetan")=1),VLOOKUP(A30,'Prijava ekipa i izvlačenje br.'!B$2:S$36,18,FALSE),"")</f>
        <v>Marko Kutlić</v>
      </c>
      <c r="D30" s="17" t="str">
        <f>IF(AND(ISTEXT('Prijava ekipa i izvlačenje br.'!C11)=TRUE,COUNTIF(B30,"kapetan")=1),VLOOKUP(A30,'Prijava ekipa i izvlačenje br.'!B$2:S$36,2,FALSE),"")</f>
        <v>Ilova Garešnica</v>
      </c>
    </row>
    <row r="31" spans="1:4" ht="12.75" hidden="1">
      <c r="A31" s="7">
        <f>IF(AND(ISNUMBER('Prijava ekipa i izvlačenje br.'!B3)=TRUE,COUNTIF(B31,"kapetan")=1),'Prijava ekipa i izvlačenje br.'!B3,"")</f>
        <v>7</v>
      </c>
      <c r="B31" s="16" t="str">
        <f>IF(ISBLANK('Prijava ekipa i izvlačenje br.'!S3)=TRUE,"",IF(OR(EXACT('Prijava ekipa i izvlačenje br.'!D3,'Prijava ekipa i izvlačenje br.'!S3),EXACT('Prijava ekipa i izvlačenje br.'!G3,'Prijava ekipa i izvlačenje br.'!S3),EXACT('Prijava ekipa i izvlačenje br.'!J3,'Prijava ekipa i izvlačenje br.'!S3),EXACT('Prijava ekipa i izvlačenje br.'!M3,'Prijava ekipa i izvlačenje br.'!S3),EXACT('Prijava ekipa i izvlačenje br.'!P3,'Prijava ekipa i izvlačenje br.'!S3)=TRUE),"","kapetan"))</f>
        <v>kapetan</v>
      </c>
      <c r="C31" s="6" t="str">
        <f>IF(AND(ISTEXT('Prijava ekipa i izvlačenje br.'!S3)=TRUE,COUNTIF(B31,"kapetan")=1),VLOOKUP(A31,'Prijava ekipa i izvlačenje br.'!B$2:S$36,18,FALSE),"")</f>
        <v>Željko Štargl</v>
      </c>
      <c r="D31" s="17" t="str">
        <f>IF(AND(ISTEXT('Prijava ekipa i izvlačenje br.'!C3)=TRUE,COUNTIF(B31,"kapetan")=1),VLOOKUP(A31,'Prijava ekipa i izvlačenje br.'!B$2:S$36,2,FALSE),"")</f>
        <v>Štuka Torčec</v>
      </c>
    </row>
    <row r="32" spans="1:4" ht="12.75" hidden="1">
      <c r="A32" s="7">
        <f>IF(AND(ISNUMBER('Prijava ekipa i izvlačenje br.'!B9)=TRUE,COUNTIF(B32,"kapetan")=1),'Prijava ekipa i izvlačenje br.'!B9,"")</f>
        <v>6</v>
      </c>
      <c r="B32" s="16" t="str">
        <f>IF(ISBLANK('Prijava ekipa i izvlačenje br.'!S9)=TRUE,"",IF(OR(EXACT('Prijava ekipa i izvlačenje br.'!D9,'Prijava ekipa i izvlačenje br.'!S9),EXACT('Prijava ekipa i izvlačenje br.'!G9,'Prijava ekipa i izvlačenje br.'!S9),EXACT('Prijava ekipa i izvlačenje br.'!J9,'Prijava ekipa i izvlačenje br.'!S9),EXACT('Prijava ekipa i izvlačenje br.'!M9,'Prijava ekipa i izvlačenje br.'!S9),EXACT('Prijava ekipa i izvlačenje br.'!P9,'Prijava ekipa i izvlačenje br.'!S9)=TRUE),"","kapetan"))</f>
        <v>kapetan</v>
      </c>
      <c r="C32" s="6" t="str">
        <f>IF(AND(ISTEXT('Prijava ekipa i izvlačenje br.'!S8)=TRUE,COUNTIF(B32,"kapetan")=1),VLOOKUP(A32,'Prijava ekipa i izvlačenje br.'!B$2:S$36,18,FALSE),"")</f>
        <v>Tihomir Đurić</v>
      </c>
      <c r="D32" s="17" t="str">
        <f>IF(AND(ISTEXT('Prijava ekipa i izvlačenje br.'!C8)=TRUE,COUNTIF(B32,"kapetan")=1),VLOOKUP(A32,'Prijava ekipa i izvlačenje br.'!B$2:S$36,2,FALSE),"")</f>
        <v>Klen N.Gradiška</v>
      </c>
    </row>
    <row r="33" spans="1:4" ht="12.75" hidden="1">
      <c r="A33" s="7">
        <f>IF(AND(ISNUMBER('Prijava ekipa i izvlačenje br.'!B10)=TRUE,COUNTIF(B33,"kapetan")=1),'Prijava ekipa i izvlačenje br.'!B10,"")</f>
      </c>
      <c r="B33" s="16">
        <f>IF(ISBLANK('Prijava ekipa i izvlačenje br.'!S10)=TRUE,"",IF(OR(EXACT('Prijava ekipa i izvlačenje br.'!D10,'Prijava ekipa i izvlačenje br.'!S10),EXACT('Prijava ekipa i izvlačenje br.'!G10,'Prijava ekipa i izvlačenje br.'!S10),EXACT('Prijava ekipa i izvlačenje br.'!J10,'Prijava ekipa i izvlačenje br.'!S10),EXACT('Prijava ekipa i izvlačenje br.'!M10,'Prijava ekipa i izvlačenje br.'!S10),EXACT('Prijava ekipa i izvlačenje br.'!P10,'Prijava ekipa i izvlačenje br.'!S10)=TRUE),"","kapetan"))</f>
      </c>
      <c r="C33" s="6">
        <f>IF(AND(ISTEXT('Prijava ekipa i izvlačenje br.'!S9)=TRUE,COUNTIF(B33,"kapetan")=1),VLOOKUP(A33,'Prijava ekipa i izvlačenje br.'!B$2:S$36,18,FALSE),"")</f>
      </c>
      <c r="D33" s="17">
        <f>IF(AND(ISTEXT('Prijava ekipa i izvlačenje br.'!C9)=TRUE,COUNTIF(B33,"kapetan")=1),VLOOKUP(A33,'Prijava ekipa i izvlačenje br.'!B$2:S$36,2,FALSE),"")</f>
      </c>
    </row>
    <row r="34" spans="1:4" ht="12.75" hidden="1">
      <c r="A34" s="7">
        <f>IF(AND(ISNUMBER('Prijava ekipa i izvlačenje br.'!B7)=TRUE,COUNTIF(B34,"kapetan")=1),'Prijava ekipa i izvlačenje br.'!B7,"")</f>
        <v>4</v>
      </c>
      <c r="B34" s="16" t="str">
        <f>IF(ISBLANK('Prijava ekipa i izvlačenje br.'!S7)=TRUE,"",IF(OR(EXACT('Prijava ekipa i izvlačenje br.'!D7,'Prijava ekipa i izvlačenje br.'!S7),EXACT('Prijava ekipa i izvlačenje br.'!G7,'Prijava ekipa i izvlačenje br.'!S7),EXACT('Prijava ekipa i izvlačenje br.'!J7,'Prijava ekipa i izvlačenje br.'!S7),EXACT('Prijava ekipa i izvlačenje br.'!M7,'Prijava ekipa i izvlačenje br.'!S7),EXACT('Prijava ekipa i izvlačenje br.'!P7,'Prijava ekipa i izvlačenje br.'!S7)=TRUE),"","kapetan"))</f>
        <v>kapetan</v>
      </c>
      <c r="C34" s="6" t="str">
        <f>IF(AND(ISTEXT('Prijava ekipa i izvlačenje br.'!S6)=TRUE,COUNTIF(B34,"kapetan")=1),VLOOKUP(A34,'Prijava ekipa i izvlačenje br.'!B$2:S$36,18,FALSE),"")</f>
        <v>Egon Kovačić</v>
      </c>
      <c r="D34" s="17" t="str">
        <f>IF(AND(ISTEXT('Prijava ekipa i izvlačenje br.'!C6)=TRUE,COUNTIF(B34,"kapetan")=1),VLOOKUP(A34,'Prijava ekipa i izvlačenje br.'!B$2:S$36,2,FALSE),"")</f>
        <v>Azzuro Varaždin</v>
      </c>
    </row>
    <row r="35" spans="1:4" ht="12.75" hidden="1">
      <c r="A35" s="7">
        <f>IF(AND(ISNUMBER('Prijava ekipa i izvlačenje br.'!B2)=TRUE,COUNTIF(B35,"kapetan")=1),'Prijava ekipa i izvlačenje br.'!B2,"")</f>
      </c>
      <c r="B35" s="16">
        <f>IF(ISBLANK('Prijava ekipa i izvlačenje br.'!S2)=TRUE,"",IF(OR(EXACT('Prijava ekipa i izvlačenje br.'!D2,'Prijava ekipa i izvlačenje br.'!S2),EXACT('Prijava ekipa i izvlačenje br.'!G2,'Prijava ekipa i izvlačenje br.'!S2),EXACT('Prijava ekipa i izvlačenje br.'!J2,'Prijava ekipa i izvlačenje br.'!S2),EXACT('Prijava ekipa i izvlačenje br.'!M2,'Prijava ekipa i izvlačenje br.'!S2),EXACT('Prijava ekipa i izvlačenje br.'!P2,'Prijava ekipa i izvlačenje br.'!S2)=TRUE),"","kapetan"))</f>
      </c>
      <c r="C35" s="6">
        <f>IF(AND(ISTEXT('Prijava ekipa i izvlačenje br.'!S2)=TRUE,COUNTIF(B35,"kapetan")=1),VLOOKUP(A35,'Prijava ekipa i izvlačenje br.'!B$2:S$36,18,FALSE),"")</f>
      </c>
      <c r="D35" s="17">
        <f>IF(AND(ISTEXT('Prijava ekipa i izvlačenje br.'!C2)=TRUE,COUNTIF(B35,"kapetan")=1),VLOOKUP(A35,'Prijava ekipa i izvlačenje br.'!B$2:S$36,2,FALSE),"")</f>
      </c>
    </row>
    <row r="36" spans="1:4" ht="12.75" hidden="1">
      <c r="A36" s="7">
        <f>IF(AND(ISNUMBER('Prijava ekipa i izvlačenje br.'!B8)=TRUE,COUNTIF(B36,"kapetan")=1),'Prijava ekipa i izvlačenje br.'!B8,"")</f>
      </c>
      <c r="B36" s="16">
        <f>IF(ISBLANK('Prijava ekipa i izvlačenje br.'!S8)=TRUE,"",IF(OR(EXACT('Prijava ekipa i izvlačenje br.'!D8,'Prijava ekipa i izvlačenje br.'!S8),EXACT('Prijava ekipa i izvlačenje br.'!G8,'Prijava ekipa i izvlačenje br.'!S8),EXACT('Prijava ekipa i izvlačenje br.'!J8,'Prijava ekipa i izvlačenje br.'!S8),EXACT('Prijava ekipa i izvlačenje br.'!M8,'Prijava ekipa i izvlačenje br.'!S8),EXACT('Prijava ekipa i izvlačenje br.'!P8,'Prijava ekipa i izvlačenje br.'!S8)=TRUE),"","kapetan"))</f>
      </c>
      <c r="C36" s="6">
        <f>IF(AND(ISTEXT('Prijava ekipa i izvlačenje br.'!S7)=TRUE,COUNTIF(B36,"kapetan")=1),VLOOKUP(A36,'Prijava ekipa i izvlačenje br.'!B$2:S$36,18,FALSE),"")</f>
      </c>
      <c r="D36" s="17">
        <f>IF(AND(ISTEXT('Prijava ekipa i izvlačenje br.'!C7)=TRUE,COUNTIF(B36,"kapetan")=1),VLOOKUP(A36,'Prijava ekipa i izvlačenje br.'!B$2:S$36,2,FALSE),"")</f>
      </c>
    </row>
    <row r="37" spans="1:4" ht="12.75" hidden="1">
      <c r="A37" s="7">
        <f>IF(AND(ISNUMBER('Prijava ekipa i izvlačenje br.'!B11)=TRUE,COUNTIF(B37,"kapetan")=1),'Prijava ekipa i izvlačenje br.'!B11,"")</f>
        <v>1</v>
      </c>
      <c r="B37" s="16" t="str">
        <f>IF(ISBLANK('Prijava ekipa i izvlačenje br.'!S11)=TRUE,"",IF(OR(EXACT('Prijava ekipa i izvlačenje br.'!D11,'Prijava ekipa i izvlačenje br.'!S11),EXACT('Prijava ekipa i izvlačenje br.'!G11,'Prijava ekipa i izvlačenje br.'!S11),EXACT('Prijava ekipa i izvlačenje br.'!J11,'Prijava ekipa i izvlačenje br.'!S11),EXACT('Prijava ekipa i izvlačenje br.'!M11,'Prijava ekipa i izvlačenje br.'!S11),EXACT('Prijava ekipa i izvlačenje br.'!P11,'Prijava ekipa i izvlačenje br.'!S11)=TRUE),"","kapetan"))</f>
        <v>kapetan</v>
      </c>
      <c r="C37" s="6" t="str">
        <f>IF(AND(ISTEXT('Prijava ekipa i izvlačenje br.'!S10)=TRUE,COUNTIF(B37,"kapetan")=1),VLOOKUP(A37,'Prijava ekipa i izvlačenje br.'!B$2:S$36,18,FALSE),"")</f>
        <v>Zvonko Botić</v>
      </c>
      <c r="D37" s="17" t="str">
        <f>IF(AND(ISTEXT('Prijava ekipa i izvlačenje br.'!C10)=TRUE,COUNTIF(B37,"kapetan")=1),VLOOKUP(A37,'Prijava ekipa i izvlačenje br.'!B$2:S$36,2,FALSE),"")</f>
        <v>TPK Zagreb</v>
      </c>
    </row>
    <row r="38" ht="12.75" hidden="1"/>
    <row r="39" ht="12.75" hidden="1"/>
    <row r="40" ht="12.75" hidden="1"/>
    <row r="56" ht="12.75"/>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23"/>
  </sheetPr>
  <dimension ref="A1:L72"/>
  <sheetViews>
    <sheetView showRowColHeaders="0" zoomScalePageLayoutView="0" workbookViewId="0" topLeftCell="A1">
      <selection activeCell="L17" sqref="L17"/>
    </sheetView>
  </sheetViews>
  <sheetFormatPr defaultColWidth="9.140625" defaultRowHeight="12.75"/>
  <cols>
    <col min="1" max="1" width="2.7109375" style="6" customWidth="1"/>
    <col min="2" max="2" width="7.00390625" style="6" customWidth="1"/>
    <col min="3" max="3" width="13.7109375" style="6" customWidth="1"/>
    <col min="4" max="4" width="10.7109375" style="6" customWidth="1"/>
    <col min="5" max="5" width="8.57421875" style="6" customWidth="1"/>
    <col min="6" max="6" width="8.00390625" style="6" customWidth="1"/>
    <col min="7" max="7" width="9.00390625" style="6" customWidth="1"/>
    <col min="8" max="8" width="13.28125" style="6" customWidth="1"/>
    <col min="9" max="9" width="8.57421875" style="6" customWidth="1"/>
    <col min="10" max="16384" width="9.140625" style="6" customWidth="1"/>
  </cols>
  <sheetData>
    <row r="1" spans="1:9" ht="12.75">
      <c r="A1" s="250" t="s">
        <v>248</v>
      </c>
      <c r="B1" s="308"/>
      <c r="C1" s="251"/>
      <c r="D1" s="301" t="str">
        <f>IF(ISNONTEXT('Organizacija natjecanja'!$H$2)=TRUE,"",'Organizacija natjecanja'!$H$2)</f>
        <v>KUP "BLJESAK"</v>
      </c>
      <c r="E1" s="253"/>
      <c r="F1" s="254"/>
      <c r="G1" s="254"/>
      <c r="H1" s="308"/>
      <c r="I1" s="368"/>
    </row>
    <row r="2" spans="1:9" ht="12.75">
      <c r="A2" s="256" t="s">
        <v>249</v>
      </c>
      <c r="B2" s="310"/>
      <c r="C2" s="257"/>
      <c r="D2" s="302" t="str">
        <f>IF(ISNONTEXT('Organizacija natjecanja'!$H$5)=TRUE,"",'Organizacija natjecanja'!$H$5)</f>
        <v>Lipik, 28.04.2009.g.</v>
      </c>
      <c r="E2" s="259"/>
      <c r="F2" s="258"/>
      <c r="G2" s="261"/>
      <c r="H2" s="310"/>
      <c r="I2" s="369"/>
    </row>
    <row r="3" spans="1:9" ht="12.75">
      <c r="A3" s="256" t="s">
        <v>250</v>
      </c>
      <c r="B3" s="310"/>
      <c r="C3" s="257"/>
      <c r="D3" s="261" t="str">
        <f>IF(ISNONTEXT('Organizacija natjecanja'!$H$7)=TRUE,"",'Organizacija natjecanja'!$H$7)</f>
        <v>ŠRS Požeško slavonske županije</v>
      </c>
      <c r="E3" s="262"/>
      <c r="F3" s="263"/>
      <c r="G3" s="263"/>
      <c r="H3" s="310"/>
      <c r="I3" s="369"/>
    </row>
    <row r="4" spans="1:9" ht="12.75">
      <c r="A4" s="256" t="s">
        <v>251</v>
      </c>
      <c r="B4" s="310"/>
      <c r="C4" s="257"/>
      <c r="D4" s="261" t="str">
        <f>IF(ISNONTEXT('Organizacija natjecanja'!$H$13)=TRUE,"",'Organizacija natjecanja'!$H$13)</f>
        <v>ŠRD Pakrac Pakrac</v>
      </c>
      <c r="E4" s="262"/>
      <c r="F4" s="263"/>
      <c r="G4" s="263"/>
      <c r="H4" s="310"/>
      <c r="I4" s="369"/>
    </row>
    <row r="5" spans="1:10" ht="12.75">
      <c r="A5" s="256" t="s">
        <v>252</v>
      </c>
      <c r="B5" s="310"/>
      <c r="C5" s="257"/>
      <c r="D5" s="261" t="str">
        <f>IF(ISNONTEXT('Organizacija natjecanja'!$H$4)=TRUE,"",'Organizacija natjecanja'!$H$4)</f>
        <v>Jezero Raminac</v>
      </c>
      <c r="E5" s="262"/>
      <c r="F5" s="263"/>
      <c r="G5" s="263"/>
      <c r="H5" s="310"/>
      <c r="I5" s="369"/>
      <c r="J5" s="8"/>
    </row>
    <row r="6" spans="1:9" ht="12.75">
      <c r="A6" s="256"/>
      <c r="B6" s="310"/>
      <c r="C6" s="257"/>
      <c r="D6" s="261"/>
      <c r="E6" s="262"/>
      <c r="F6" s="263"/>
      <c r="G6" s="263"/>
      <c r="H6" s="310"/>
      <c r="I6" s="369"/>
    </row>
    <row r="7" spans="1:9" ht="14.25" customHeight="1">
      <c r="A7" s="265" t="s">
        <v>39</v>
      </c>
      <c r="B7" s="313"/>
      <c r="C7" s="266"/>
      <c r="D7" s="267" t="str">
        <f>IF(ISBLANK('Organizacija natjecanja'!$H$9)=TRUE,"",'Organizacija natjecanja'!$H$9)</f>
        <v>SENIORI</v>
      </c>
      <c r="E7" s="268"/>
      <c r="F7" s="269"/>
      <c r="G7" s="269"/>
      <c r="H7" s="313"/>
      <c r="I7" s="370"/>
    </row>
    <row r="8" spans="1:9" ht="12.75">
      <c r="A8" s="378"/>
      <c r="B8" s="8"/>
      <c r="C8" s="289"/>
      <c r="D8" s="290"/>
      <c r="E8" s="291"/>
      <c r="F8" s="292"/>
      <c r="G8" s="292"/>
      <c r="H8" s="8"/>
      <c r="I8" s="8"/>
    </row>
    <row r="9" spans="1:9" ht="12.75">
      <c r="A9" s="379"/>
      <c r="B9" s="308"/>
      <c r="C9" s="251"/>
      <c r="D9" s="252"/>
      <c r="E9" s="253"/>
      <c r="F9" s="254"/>
      <c r="G9" s="254"/>
      <c r="H9" s="308"/>
      <c r="I9" s="368"/>
    </row>
    <row r="10" spans="1:9" ht="12.75">
      <c r="A10" s="371" t="s">
        <v>41</v>
      </c>
      <c r="B10" s="310"/>
      <c r="C10" s="310"/>
      <c r="D10" s="310"/>
      <c r="E10" s="310"/>
      <c r="F10" s="310"/>
      <c r="G10" s="310"/>
      <c r="H10" s="310"/>
      <c r="I10" s="369"/>
    </row>
    <row r="11" spans="1:9" ht="12.75">
      <c r="A11" s="371" t="s">
        <v>42</v>
      </c>
      <c r="B11" s="310"/>
      <c r="C11" s="310"/>
      <c r="D11" s="310"/>
      <c r="E11" s="310"/>
      <c r="F11" s="310"/>
      <c r="G11" s="310"/>
      <c r="H11" s="310"/>
      <c r="I11" s="369"/>
    </row>
    <row r="12" spans="1:9" ht="12.75">
      <c r="A12" s="371" t="s">
        <v>43</v>
      </c>
      <c r="B12" s="310"/>
      <c r="C12" s="310"/>
      <c r="D12" s="310"/>
      <c r="E12" s="310"/>
      <c r="F12" s="310"/>
      <c r="G12" s="310"/>
      <c r="H12" s="310"/>
      <c r="I12" s="369"/>
    </row>
    <row r="13" spans="1:9" ht="12.75">
      <c r="A13" s="371" t="s">
        <v>44</v>
      </c>
      <c r="B13" s="310"/>
      <c r="C13" s="310"/>
      <c r="D13" s="310"/>
      <c r="E13" s="310"/>
      <c r="F13" s="310"/>
      <c r="G13" s="310"/>
      <c r="H13" s="310"/>
      <c r="I13" s="369"/>
    </row>
    <row r="14" spans="1:9" ht="12.75">
      <c r="A14" s="371" t="s">
        <v>45</v>
      </c>
      <c r="B14" s="310"/>
      <c r="C14" s="310"/>
      <c r="D14" s="310"/>
      <c r="E14" s="310"/>
      <c r="F14" s="310"/>
      <c r="G14" s="310"/>
      <c r="H14" s="310"/>
      <c r="I14" s="369"/>
    </row>
    <row r="15" spans="1:9" ht="12.75">
      <c r="A15" s="371" t="s">
        <v>46</v>
      </c>
      <c r="B15" s="310"/>
      <c r="C15" s="310"/>
      <c r="D15" s="310"/>
      <c r="E15" s="310"/>
      <c r="F15" s="310"/>
      <c r="G15" s="310"/>
      <c r="H15" s="310"/>
      <c r="I15" s="369"/>
    </row>
    <row r="16" spans="1:12" ht="12.75">
      <c r="A16" s="371"/>
      <c r="B16" s="310"/>
      <c r="C16" s="310"/>
      <c r="D16" s="310"/>
      <c r="E16" s="310"/>
      <c r="F16" s="310"/>
      <c r="G16" s="310"/>
      <c r="H16" s="310"/>
      <c r="I16" s="369"/>
      <c r="L16" s="8"/>
    </row>
    <row r="17" spans="1:9" ht="12.75">
      <c r="A17" s="371"/>
      <c r="B17" s="310"/>
      <c r="C17" s="310"/>
      <c r="D17" s="310"/>
      <c r="E17" s="310"/>
      <c r="F17" s="310"/>
      <c r="G17" s="310"/>
      <c r="H17" s="310"/>
      <c r="I17" s="369"/>
    </row>
    <row r="18" spans="1:9" ht="12.75">
      <c r="A18" s="371"/>
      <c r="B18" s="310"/>
      <c r="C18" s="310"/>
      <c r="D18" s="310"/>
      <c r="E18" s="310"/>
      <c r="F18" s="310"/>
      <c r="G18" s="310"/>
      <c r="H18" s="310"/>
      <c r="I18" s="369"/>
    </row>
    <row r="19" spans="1:9" ht="12.75">
      <c r="A19" s="371"/>
      <c r="B19" s="310"/>
      <c r="C19" s="310"/>
      <c r="D19" s="310"/>
      <c r="E19" s="310"/>
      <c r="F19" s="310"/>
      <c r="G19" s="310"/>
      <c r="H19" s="310"/>
      <c r="I19" s="369"/>
    </row>
    <row r="20" spans="1:9" ht="12.75">
      <c r="A20" s="280" t="s">
        <v>47</v>
      </c>
      <c r="B20" s="470" t="str">
        <f>IF(ISBLANK('Organizacija natjecanja'!H18)=TRUE,"",'Organizacija natjecanja'!H18)</f>
        <v>Pavao Umnik</v>
      </c>
      <c r="C20" s="470"/>
      <c r="D20" s="310" t="str">
        <f>'Organizacija natjecanja'!E7</f>
        <v>Organizator natjecanja:</v>
      </c>
      <c r="E20" s="310"/>
      <c r="F20" s="469" t="str">
        <f>IF(ISBLANK('Organizacija natjecanja'!H7)=TRUE,"",'Organizacija natjecanja'!H7)</f>
        <v>ŠRS Požeško slavonske županije</v>
      </c>
      <c r="G20" s="469"/>
      <c r="H20" s="310" t="s">
        <v>280</v>
      </c>
      <c r="I20" s="369"/>
    </row>
    <row r="21" spans="1:9" ht="12.75">
      <c r="A21" s="280" t="s">
        <v>49</v>
      </c>
      <c r="B21" s="470" t="str">
        <f>IF(ISBLANK('Organizacija natjecanja'!H14)=TRUE,"",'Organizacija natjecanja'!H14)</f>
        <v>Željko Ljevaković</v>
      </c>
      <c r="C21" s="470"/>
      <c r="D21" s="310" t="str">
        <f>'Organizacija natjecanja'!E13</f>
        <v>Domaćin natjecanja:</v>
      </c>
      <c r="E21" s="310"/>
      <c r="F21" s="469" t="str">
        <f>IF(ISBLANK('Organizacija natjecanja'!H13)=TRUE,"",'Organizacija natjecanja'!H13)</f>
        <v>ŠRD Pakrac Pakrac</v>
      </c>
      <c r="G21" s="469"/>
      <c r="H21" s="310" t="s">
        <v>50</v>
      </c>
      <c r="I21" s="369"/>
    </row>
    <row r="22" spans="1:9" ht="12.75">
      <c r="A22" s="280" t="s">
        <v>51</v>
      </c>
      <c r="B22" s="470" t="str">
        <f>IF(ISBLANK('Organizacija natjecanja'!H16)=TRUE,"",'Organizacija natjecanja'!H16)</f>
        <v>Antun Kedmenec</v>
      </c>
      <c r="C22" s="470"/>
      <c r="D22" s="310" t="str">
        <f>'Organizacija natjecanja'!E16</f>
        <v>Vrhovni sudac:</v>
      </c>
      <c r="E22" s="310"/>
      <c r="F22" s="310"/>
      <c r="G22" s="310"/>
      <c r="H22" s="310" t="s">
        <v>50</v>
      </c>
      <c r="I22" s="369"/>
    </row>
    <row r="23" spans="1:9" ht="12.75">
      <c r="A23" s="280" t="s">
        <v>52</v>
      </c>
      <c r="B23" s="470" t="str">
        <f>IF(ISNONTEXT('Odabir žirija natjecanja'!B17)=TRUE,"",'Odabir žirija natjecanja'!B17)</f>
        <v>Zvonko Botić</v>
      </c>
      <c r="C23" s="470"/>
      <c r="D23" s="471" t="str">
        <f>IF(ISNONTEXT('Odabir žirija natjecanja'!C17)=TRUE,"",'Odabir žirija natjecanja'!C17)</f>
        <v>TPK Zagreb</v>
      </c>
      <c r="E23" s="471"/>
      <c r="F23" s="372" t="s">
        <v>162</v>
      </c>
      <c r="G23" s="320">
        <f>IF(ISNUMBER('Odabir žirija natjecanja'!F17)=TRUE,'Odabir žirija natjecanja'!F17,"")</f>
        <v>1</v>
      </c>
      <c r="H23" s="310" t="s">
        <v>50</v>
      </c>
      <c r="I23" s="369"/>
    </row>
    <row r="24" spans="1:9" ht="12.75">
      <c r="A24" s="280" t="s">
        <v>53</v>
      </c>
      <c r="B24" s="470" t="str">
        <f>IF(ISNONTEXT('Odabir žirija natjecanja'!B18)=TRUE,"",'Odabir žirija natjecanja'!B18)</f>
        <v>Egon Kovačić</v>
      </c>
      <c r="C24" s="470"/>
      <c r="D24" s="471" t="str">
        <f>IF(ISNONTEXT('Odabir žirija natjecanja'!C18)=TRUE,"",'Odabir žirija natjecanja'!C18)</f>
        <v>Azzuro Varaždin</v>
      </c>
      <c r="E24" s="471"/>
      <c r="F24" s="372" t="s">
        <v>162</v>
      </c>
      <c r="G24" s="320">
        <f>IF(ISNUMBER('Odabir žirija natjecanja'!F18)=TRUE,'Odabir žirija natjecanja'!F18,"")</f>
        <v>4</v>
      </c>
      <c r="H24" s="310" t="s">
        <v>50</v>
      </c>
      <c r="I24" s="369"/>
    </row>
    <row r="25" spans="1:9" ht="12.75">
      <c r="A25" s="280" t="s">
        <v>54</v>
      </c>
      <c r="B25" s="470" t="str">
        <f>IF(ISNONTEXT('Odabir žirija natjecanja'!B19)=TRUE,"",'Odabir žirija natjecanja'!B19)</f>
        <v>Tihomir Đurić</v>
      </c>
      <c r="C25" s="470"/>
      <c r="D25" s="471" t="str">
        <f>IF(ISNONTEXT('Odabir žirija natjecanja'!C19)=TRUE,"",'Odabir žirija natjecanja'!C19)</f>
        <v>Klen N.Gradiška</v>
      </c>
      <c r="E25" s="471"/>
      <c r="F25" s="372" t="s">
        <v>162</v>
      </c>
      <c r="G25" s="320">
        <f>IF(ISNUMBER('Odabir žirija natjecanja'!F19)=TRUE,'Odabir žirija natjecanja'!F19,"")</f>
        <v>6</v>
      </c>
      <c r="H25" s="310" t="s">
        <v>50</v>
      </c>
      <c r="I25" s="369"/>
    </row>
    <row r="26" spans="1:9" ht="12.75">
      <c r="A26" s="280" t="s">
        <v>55</v>
      </c>
      <c r="B26" s="470" t="str">
        <f>IF(ISNONTEXT('Odabir žirija natjecanja'!B20)=TRUE,"",'Odabir žirija natjecanja'!B20)</f>
        <v>Željko Štargl</v>
      </c>
      <c r="C26" s="470"/>
      <c r="D26" s="471" t="str">
        <f>IF(ISNONTEXT('Odabir žirija natjecanja'!C20)=TRUE,"",'Odabir žirija natjecanja'!C20)</f>
        <v>Štuka Torčec</v>
      </c>
      <c r="E26" s="471"/>
      <c r="F26" s="372" t="s">
        <v>162</v>
      </c>
      <c r="G26" s="320">
        <f>IF(ISNUMBER('Odabir žirija natjecanja'!F20)=TRUE,'Odabir žirija natjecanja'!F20,"")</f>
        <v>7</v>
      </c>
      <c r="H26" s="310" t="s">
        <v>50</v>
      </c>
      <c r="I26" s="369"/>
    </row>
    <row r="27" spans="1:9" ht="12.75">
      <c r="A27" s="371"/>
      <c r="B27" s="310"/>
      <c r="C27" s="372"/>
      <c r="D27" s="372"/>
      <c r="E27" s="372"/>
      <c r="F27" s="372"/>
      <c r="G27" s="372"/>
      <c r="H27" s="310"/>
      <c r="I27" s="369"/>
    </row>
    <row r="28" spans="1:9" ht="12.75">
      <c r="A28" s="371"/>
      <c r="B28" s="310"/>
      <c r="C28" s="310"/>
      <c r="D28" s="310"/>
      <c r="E28" s="310"/>
      <c r="F28" s="310"/>
      <c r="G28" s="310"/>
      <c r="H28" s="310"/>
      <c r="I28" s="369"/>
    </row>
    <row r="29" spans="1:9" ht="12.75">
      <c r="A29" s="371"/>
      <c r="B29" s="373"/>
      <c r="C29" s="374"/>
      <c r="D29" s="374"/>
      <c r="E29" s="374"/>
      <c r="F29" s="374"/>
      <c r="G29" s="374"/>
      <c r="H29" s="374"/>
      <c r="I29" s="369"/>
    </row>
    <row r="30" spans="1:9" ht="12.75">
      <c r="A30" s="371"/>
      <c r="B30" s="310"/>
      <c r="C30" s="310"/>
      <c r="D30" s="310"/>
      <c r="E30" s="310"/>
      <c r="F30" s="310"/>
      <c r="G30" s="310"/>
      <c r="H30" s="310"/>
      <c r="I30" s="369"/>
    </row>
    <row r="31" spans="1:9" ht="45" hidden="1">
      <c r="A31" s="371"/>
      <c r="B31" s="375" t="s">
        <v>20</v>
      </c>
      <c r="C31" s="257" t="s">
        <v>56</v>
      </c>
      <c r="D31" s="376" t="s">
        <v>57</v>
      </c>
      <c r="E31" s="376" t="s">
        <v>21</v>
      </c>
      <c r="F31" s="310"/>
      <c r="G31" s="310"/>
      <c r="H31" s="310"/>
      <c r="I31" s="369"/>
    </row>
    <row r="32" spans="1:9" ht="12.75" hidden="1">
      <c r="A32" s="371"/>
      <c r="B32" s="327">
        <f>IF(ISNUMBER('Odabir žirija natjecanja'!A26)=FALSE,"",'Odabir žirija natjecanja'!A26)</f>
      </c>
      <c r="C32" s="298">
        <f>IF(ISNONTEXT('Odabir žirija natjecanja'!B26)=TRUE,"",'Odabir žirija natjecanja'!B26)</f>
      </c>
      <c r="D32" s="298">
        <f>IF(ISNONTEXT('Odabir žirija natjecanja'!C26)=TRUE,"",'Odabir žirija natjecanja'!C26)</f>
      </c>
      <c r="E32" s="298">
        <f>IF(ISNONTEXT('Odabir žirija natjecanja'!D26)=TRUE,"",'Odabir žirija natjecanja'!D26)</f>
      </c>
      <c r="F32" s="310"/>
      <c r="G32" s="310"/>
      <c r="H32" s="310"/>
      <c r="I32" s="369"/>
    </row>
    <row r="33" spans="1:9" ht="12.75" hidden="1">
      <c r="A33" s="371"/>
      <c r="B33" s="327">
        <f>IF(ISNUMBER('Odabir žirija natjecanja'!A27)=FALSE,"",'Odabir žirija natjecanja'!A27)</f>
      </c>
      <c r="C33" s="298">
        <f>IF(ISNONTEXT('Odabir žirija natjecanja'!B27)=TRUE,"",'Odabir žirija natjecanja'!B27)</f>
      </c>
      <c r="D33" s="298">
        <f>IF(ISNONTEXT('Odabir žirija natjecanja'!C27)=TRUE,"",'Odabir žirija natjecanja'!C27)</f>
      </c>
      <c r="E33" s="298">
        <f>IF(ISNONTEXT('Odabir žirija natjecanja'!D27)=TRUE,"",'Odabir žirija natjecanja'!D27)</f>
      </c>
      <c r="F33" s="310"/>
      <c r="G33" s="310"/>
      <c r="H33" s="310"/>
      <c r="I33" s="369"/>
    </row>
    <row r="34" spans="1:9" ht="12.75" hidden="1">
      <c r="A34" s="371"/>
      <c r="B34" s="327">
        <f>IF(ISNUMBER('Odabir žirija natjecanja'!A28)=FALSE,"",'Odabir žirija natjecanja'!A28)</f>
      </c>
      <c r="C34" s="298">
        <f>IF(ISNONTEXT('Odabir žirija natjecanja'!B28)=TRUE,"",'Odabir žirija natjecanja'!B28)</f>
      </c>
      <c r="D34" s="298">
        <f>IF(ISNONTEXT('Odabir žirija natjecanja'!C28)=TRUE,"",'Odabir žirija natjecanja'!C28)</f>
      </c>
      <c r="E34" s="298">
        <f>IF(ISNONTEXT('Odabir žirija natjecanja'!D28)=TRUE,"",'Odabir žirija natjecanja'!D28)</f>
      </c>
      <c r="F34" s="310"/>
      <c r="G34" s="310"/>
      <c r="H34" s="310"/>
      <c r="I34" s="369"/>
    </row>
    <row r="35" spans="1:9" ht="12.75" hidden="1">
      <c r="A35" s="371"/>
      <c r="B35" s="327">
        <f>IF(ISNUMBER('Odabir žirija natjecanja'!A29)=FALSE,"",'Odabir žirija natjecanja'!A29)</f>
      </c>
      <c r="C35" s="298">
        <f>IF(ISNONTEXT('Odabir žirija natjecanja'!B29)=TRUE,"",'Odabir žirija natjecanja'!B29)</f>
      </c>
      <c r="D35" s="298">
        <f>IF(ISNONTEXT('Odabir žirija natjecanja'!C29)=TRUE,"",'Odabir žirija natjecanja'!C29)</f>
      </c>
      <c r="E35" s="298">
        <f>IF(ISNONTEXT('Odabir žirija natjecanja'!D29)=TRUE,"",'Odabir žirija natjecanja'!D29)</f>
      </c>
      <c r="F35" s="310"/>
      <c r="G35" s="310"/>
      <c r="H35" s="310"/>
      <c r="I35" s="369"/>
    </row>
    <row r="36" spans="1:9" ht="12.75" hidden="1">
      <c r="A36" s="371"/>
      <c r="B36" s="327">
        <f>IF(ISNUMBER('Odabir žirija natjecanja'!A30)=FALSE,"",'Odabir žirija natjecanja'!A30)</f>
        <v>8</v>
      </c>
      <c r="C36" s="298" t="str">
        <f>IF(ISNONTEXT('Odabir žirija natjecanja'!B30)=TRUE,"",'Odabir žirija natjecanja'!B30)</f>
        <v>kapetan</v>
      </c>
      <c r="D36" s="298" t="str">
        <f>IF(ISNONTEXT('Odabir žirija natjecanja'!C30)=TRUE,"",'Odabir žirija natjecanja'!C30)</f>
        <v>Marko Kutlić</v>
      </c>
      <c r="E36" s="298" t="str">
        <f>IF(ISNONTEXT('Odabir žirija natjecanja'!D30)=TRUE,"",'Odabir žirija natjecanja'!D30)</f>
        <v>Ilova Garešnica</v>
      </c>
      <c r="F36" s="310"/>
      <c r="G36" s="310"/>
      <c r="H36" s="310"/>
      <c r="I36" s="369"/>
    </row>
    <row r="37" spans="1:9" ht="12.75" hidden="1">
      <c r="A37" s="371"/>
      <c r="B37" s="327">
        <f>IF(ISNUMBER('Odabir žirija natjecanja'!A31)=FALSE,"",'Odabir žirija natjecanja'!A31)</f>
        <v>7</v>
      </c>
      <c r="C37" s="298" t="str">
        <f>IF(ISNONTEXT('Odabir žirija natjecanja'!B31)=TRUE,"",'Odabir žirija natjecanja'!B31)</f>
        <v>kapetan</v>
      </c>
      <c r="D37" s="298" t="str">
        <f>IF(ISNONTEXT('Odabir žirija natjecanja'!C31)=TRUE,"",'Odabir žirija natjecanja'!C31)</f>
        <v>Željko Štargl</v>
      </c>
      <c r="E37" s="298" t="str">
        <f>IF(ISNONTEXT('Odabir žirija natjecanja'!D31)=TRUE,"",'Odabir žirija natjecanja'!D31)</f>
        <v>Štuka Torčec</v>
      </c>
      <c r="F37" s="310"/>
      <c r="G37" s="310"/>
      <c r="H37" s="310"/>
      <c r="I37" s="369"/>
    </row>
    <row r="38" spans="1:9" ht="12.75" hidden="1">
      <c r="A38" s="371"/>
      <c r="B38" s="327">
        <f>IF(ISNUMBER('Odabir žirija natjecanja'!A32)=FALSE,"",'Odabir žirija natjecanja'!A32)</f>
        <v>6</v>
      </c>
      <c r="C38" s="298" t="str">
        <f>IF(ISNONTEXT('Odabir žirija natjecanja'!B32)=TRUE,"",'Odabir žirija natjecanja'!B32)</f>
        <v>kapetan</v>
      </c>
      <c r="D38" s="298" t="str">
        <f>IF(ISNONTEXT('Odabir žirija natjecanja'!C32)=TRUE,"",'Odabir žirija natjecanja'!C32)</f>
        <v>Tihomir Đurić</v>
      </c>
      <c r="E38" s="298" t="str">
        <f>IF(ISNONTEXT('Odabir žirija natjecanja'!D32)=TRUE,"",'Odabir žirija natjecanja'!D32)</f>
        <v>Klen N.Gradiška</v>
      </c>
      <c r="F38" s="310"/>
      <c r="G38" s="310"/>
      <c r="H38" s="310"/>
      <c r="I38" s="369"/>
    </row>
    <row r="39" spans="1:9" ht="12.75" hidden="1">
      <c r="A39" s="371"/>
      <c r="B39" s="327">
        <f>IF(ISNUMBER('Odabir žirija natjecanja'!A33)=FALSE,"",'Odabir žirija natjecanja'!A33)</f>
      </c>
      <c r="C39" s="298">
        <f>IF(ISNONTEXT('Odabir žirija natjecanja'!B33)=TRUE,"",'Odabir žirija natjecanja'!B33)</f>
      </c>
      <c r="D39" s="298">
        <f>IF(ISNONTEXT('Odabir žirija natjecanja'!C33)=TRUE,"",'Odabir žirija natjecanja'!C33)</f>
      </c>
      <c r="E39" s="298">
        <f>IF(ISNONTEXT('Odabir žirija natjecanja'!D33)=TRUE,"",'Odabir žirija natjecanja'!D33)</f>
      </c>
      <c r="F39" s="310"/>
      <c r="G39" s="310"/>
      <c r="H39" s="310"/>
      <c r="I39" s="369"/>
    </row>
    <row r="40" spans="1:9" ht="12.75" hidden="1">
      <c r="A40" s="371"/>
      <c r="B40" s="327">
        <f>IF(ISNUMBER('Odabir žirija natjecanja'!A34)=FALSE,"",'Odabir žirija natjecanja'!A34)</f>
        <v>4</v>
      </c>
      <c r="C40" s="298" t="str">
        <f>IF(ISNONTEXT('Odabir žirija natjecanja'!B34)=TRUE,"",'Odabir žirija natjecanja'!B34)</f>
        <v>kapetan</v>
      </c>
      <c r="D40" s="298" t="str">
        <f>IF(ISNONTEXT('Odabir žirija natjecanja'!C34)=TRUE,"",'Odabir žirija natjecanja'!C34)</f>
        <v>Egon Kovačić</v>
      </c>
      <c r="E40" s="298" t="str">
        <f>IF(ISNONTEXT('Odabir žirija natjecanja'!D34)=TRUE,"",'Odabir žirija natjecanja'!D34)</f>
        <v>Azzuro Varaždin</v>
      </c>
      <c r="F40" s="310"/>
      <c r="G40" s="310"/>
      <c r="H40" s="310"/>
      <c r="I40" s="369"/>
    </row>
    <row r="41" spans="1:9" ht="12.75" hidden="1">
      <c r="A41" s="371"/>
      <c r="B41" s="327">
        <f>IF(ISNUMBER('Odabir žirija natjecanja'!A35)=FALSE,"",'Odabir žirija natjecanja'!A35)</f>
      </c>
      <c r="C41" s="298">
        <f>IF(ISNONTEXT('Odabir žirija natjecanja'!B35)=TRUE,"",'Odabir žirija natjecanja'!B35)</f>
      </c>
      <c r="D41" s="298">
        <f>IF(ISNONTEXT('Odabir žirija natjecanja'!C35)=TRUE,"",'Odabir žirija natjecanja'!C35)</f>
      </c>
      <c r="E41" s="298">
        <f>IF(ISNONTEXT('Odabir žirija natjecanja'!D35)=TRUE,"",'Odabir žirija natjecanja'!D35)</f>
      </c>
      <c r="F41" s="310"/>
      <c r="G41" s="310"/>
      <c r="H41" s="310"/>
      <c r="I41" s="369"/>
    </row>
    <row r="42" spans="1:9" ht="12.75" hidden="1">
      <c r="A42" s="371"/>
      <c r="B42" s="327">
        <f>IF(ISNUMBER('Odabir žirija natjecanja'!A36)=FALSE,"",'Odabir žirija natjecanja'!A36)</f>
      </c>
      <c r="C42" s="298">
        <f>IF(ISNONTEXT('Odabir žirija natjecanja'!B36)=TRUE,"",'Odabir žirija natjecanja'!B36)</f>
      </c>
      <c r="D42" s="298">
        <f>IF(ISNONTEXT('Odabir žirija natjecanja'!C36)=TRUE,"",'Odabir žirija natjecanja'!C36)</f>
      </c>
      <c r="E42" s="298">
        <f>IF(ISNONTEXT('Odabir žirija natjecanja'!D36)=TRUE,"",'Odabir žirija natjecanja'!D36)</f>
      </c>
      <c r="F42" s="310"/>
      <c r="G42" s="310"/>
      <c r="H42" s="310"/>
      <c r="I42" s="369"/>
    </row>
    <row r="43" spans="1:9" ht="12.75" hidden="1">
      <c r="A43" s="371"/>
      <c r="B43" s="327">
        <f>IF(ISNUMBER('Odabir žirija natjecanja'!A37)=FALSE,"",'Odabir žirija natjecanja'!A37)</f>
        <v>1</v>
      </c>
      <c r="C43" s="298" t="str">
        <f>IF(ISNONTEXT('Odabir žirija natjecanja'!B37)=TRUE,"",'Odabir žirija natjecanja'!B37)</f>
        <v>kapetan</v>
      </c>
      <c r="D43" s="298" t="str">
        <f>IF(ISNONTEXT('Odabir žirija natjecanja'!C37)=TRUE,"",'Odabir žirija natjecanja'!C37)</f>
        <v>Zvonko Botić</v>
      </c>
      <c r="E43" s="298" t="str">
        <f>IF(ISNONTEXT('Odabir žirija natjecanja'!D37)=TRUE,"",'Odabir žirija natjecanja'!D37)</f>
        <v>TPK Zagreb</v>
      </c>
      <c r="F43" s="310"/>
      <c r="G43" s="310"/>
      <c r="H43" s="310"/>
      <c r="I43" s="369"/>
    </row>
    <row r="44" spans="1:9" ht="12.75" hidden="1">
      <c r="A44" s="371"/>
      <c r="B44" s="310"/>
      <c r="C44" s="310"/>
      <c r="D44" s="310"/>
      <c r="E44" s="310"/>
      <c r="F44" s="310"/>
      <c r="G44" s="310"/>
      <c r="H44" s="310"/>
      <c r="I44" s="369"/>
    </row>
    <row r="45" spans="1:9" ht="12.75" hidden="1">
      <c r="A45" s="371"/>
      <c r="B45" s="310"/>
      <c r="C45" s="310"/>
      <c r="D45" s="310"/>
      <c r="E45" s="310"/>
      <c r="F45" s="310"/>
      <c r="G45" s="310"/>
      <c r="H45" s="310"/>
      <c r="I45" s="369"/>
    </row>
    <row r="46" spans="1:9" ht="12.75" hidden="1">
      <c r="A46" s="371"/>
      <c r="B46" s="310"/>
      <c r="C46" s="310"/>
      <c r="D46" s="310"/>
      <c r="E46" s="310"/>
      <c r="F46" s="310"/>
      <c r="G46" s="310"/>
      <c r="H46" s="310"/>
      <c r="I46" s="369"/>
    </row>
    <row r="47" spans="1:9" ht="12.75">
      <c r="A47" s="371"/>
      <c r="B47" s="310"/>
      <c r="C47" s="310"/>
      <c r="D47" s="310"/>
      <c r="E47" s="310"/>
      <c r="F47" s="310"/>
      <c r="G47" s="310"/>
      <c r="H47" s="310"/>
      <c r="I47" s="369"/>
    </row>
    <row r="48" spans="1:9" ht="12.75">
      <c r="A48" s="371"/>
      <c r="B48" s="310"/>
      <c r="C48" s="310"/>
      <c r="D48" s="310"/>
      <c r="E48" s="310"/>
      <c r="F48" s="310"/>
      <c r="G48" s="310"/>
      <c r="H48" s="310"/>
      <c r="I48" s="369"/>
    </row>
    <row r="49" spans="1:9" ht="12.75">
      <c r="A49" s="371"/>
      <c r="B49" s="310"/>
      <c r="C49" s="310"/>
      <c r="D49" s="310"/>
      <c r="E49" s="310"/>
      <c r="F49" s="310"/>
      <c r="G49" s="310"/>
      <c r="H49" s="310"/>
      <c r="I49" s="369"/>
    </row>
    <row r="50" spans="1:9" ht="12.75">
      <c r="A50" s="371"/>
      <c r="B50" s="310"/>
      <c r="C50" s="310"/>
      <c r="D50" s="310"/>
      <c r="E50" s="310"/>
      <c r="F50" s="310"/>
      <c r="G50" s="310"/>
      <c r="H50" s="310"/>
      <c r="I50" s="369"/>
    </row>
    <row r="51" spans="1:9" ht="12.75">
      <c r="A51" s="371"/>
      <c r="B51" s="310"/>
      <c r="C51" s="310"/>
      <c r="D51" s="310"/>
      <c r="E51" s="310"/>
      <c r="F51" s="310"/>
      <c r="G51" s="310"/>
      <c r="H51" s="310"/>
      <c r="I51" s="369"/>
    </row>
    <row r="52" spans="1:9" ht="12.75">
      <c r="A52" s="371"/>
      <c r="B52" s="310"/>
      <c r="C52" s="310"/>
      <c r="D52" s="310"/>
      <c r="E52" s="310"/>
      <c r="F52" s="310"/>
      <c r="G52" s="310"/>
      <c r="H52" s="310"/>
      <c r="I52" s="369"/>
    </row>
    <row r="53" spans="1:9" ht="12.75">
      <c r="A53" s="371"/>
      <c r="B53" s="310"/>
      <c r="C53" s="310"/>
      <c r="D53" s="310"/>
      <c r="E53" s="310"/>
      <c r="F53" s="310"/>
      <c r="G53" s="310"/>
      <c r="H53" s="310"/>
      <c r="I53" s="369"/>
    </row>
    <row r="54" spans="1:9" ht="12.75">
      <c r="A54" s="371"/>
      <c r="B54" s="310"/>
      <c r="C54" s="310"/>
      <c r="D54" s="310"/>
      <c r="E54" s="310"/>
      <c r="F54" s="310"/>
      <c r="G54" s="310"/>
      <c r="H54" s="310"/>
      <c r="I54" s="369"/>
    </row>
    <row r="55" spans="1:9" ht="12.75">
      <c r="A55" s="371"/>
      <c r="B55" s="310"/>
      <c r="C55" s="310"/>
      <c r="D55" s="310"/>
      <c r="E55" s="310"/>
      <c r="F55" s="310"/>
      <c r="G55" s="310"/>
      <c r="H55" s="310"/>
      <c r="I55" s="369"/>
    </row>
    <row r="56" spans="1:9" ht="12.75">
      <c r="A56" s="371"/>
      <c r="B56" s="310"/>
      <c r="C56" s="310"/>
      <c r="D56" s="310"/>
      <c r="E56" s="310"/>
      <c r="F56" s="310"/>
      <c r="G56" s="310"/>
      <c r="H56" s="310"/>
      <c r="I56" s="369"/>
    </row>
    <row r="57" spans="1:9" ht="12.75">
      <c r="A57" s="371"/>
      <c r="B57" s="310"/>
      <c r="C57" s="310"/>
      <c r="D57" s="310"/>
      <c r="E57" s="310"/>
      <c r="F57" s="310"/>
      <c r="G57" s="310"/>
      <c r="H57" s="310"/>
      <c r="I57" s="369"/>
    </row>
    <row r="58" spans="1:9" ht="12.75">
      <c r="A58" s="371"/>
      <c r="B58" s="310"/>
      <c r="C58" s="310"/>
      <c r="D58" s="310"/>
      <c r="E58" s="310"/>
      <c r="F58" s="310"/>
      <c r="G58" s="310"/>
      <c r="H58" s="310"/>
      <c r="I58" s="369"/>
    </row>
    <row r="59" spans="1:9" ht="12.75">
      <c r="A59" s="371"/>
      <c r="B59" s="310"/>
      <c r="C59" s="310"/>
      <c r="D59" s="310"/>
      <c r="E59" s="310"/>
      <c r="F59" s="310"/>
      <c r="G59" s="310"/>
      <c r="H59" s="310"/>
      <c r="I59" s="369"/>
    </row>
    <row r="60" spans="1:9" ht="12.75">
      <c r="A60" s="371"/>
      <c r="B60" s="310"/>
      <c r="C60" s="310"/>
      <c r="D60" s="310"/>
      <c r="E60" s="310"/>
      <c r="F60" s="310"/>
      <c r="G60" s="310"/>
      <c r="H60" s="310"/>
      <c r="I60" s="369"/>
    </row>
    <row r="61" spans="1:9" ht="12.75">
      <c r="A61" s="371"/>
      <c r="B61" s="310"/>
      <c r="C61" s="310"/>
      <c r="D61" s="310"/>
      <c r="E61" s="310"/>
      <c r="F61" s="310"/>
      <c r="G61" s="310"/>
      <c r="H61" s="310"/>
      <c r="I61" s="369"/>
    </row>
    <row r="62" spans="1:9" ht="12.75">
      <c r="A62" s="371"/>
      <c r="B62" s="310"/>
      <c r="C62" s="310"/>
      <c r="D62" s="310"/>
      <c r="E62" s="310"/>
      <c r="F62" s="310"/>
      <c r="G62" s="310"/>
      <c r="H62" s="310"/>
      <c r="I62" s="369"/>
    </row>
    <row r="63" spans="1:9" ht="12.75">
      <c r="A63" s="371"/>
      <c r="B63" s="310"/>
      <c r="C63" s="310"/>
      <c r="D63" s="310"/>
      <c r="E63" s="310"/>
      <c r="F63" s="310"/>
      <c r="G63" s="310"/>
      <c r="H63" s="310"/>
      <c r="I63" s="369"/>
    </row>
    <row r="64" spans="1:9" ht="12.75">
      <c r="A64" s="371"/>
      <c r="B64" s="310"/>
      <c r="C64" s="310"/>
      <c r="D64" s="310"/>
      <c r="E64" s="310"/>
      <c r="F64" s="310"/>
      <c r="G64" s="310"/>
      <c r="H64" s="310"/>
      <c r="I64" s="369"/>
    </row>
    <row r="65" spans="1:9" ht="12.75">
      <c r="A65" s="371"/>
      <c r="B65" s="310"/>
      <c r="C65" s="310"/>
      <c r="D65" s="310"/>
      <c r="E65" s="310"/>
      <c r="F65" s="310"/>
      <c r="G65" s="310"/>
      <c r="H65" s="310"/>
      <c r="I65" s="369"/>
    </row>
    <row r="66" spans="1:9" ht="12.75">
      <c r="A66" s="371"/>
      <c r="B66" s="310"/>
      <c r="C66" s="310"/>
      <c r="D66" s="310"/>
      <c r="E66" s="310"/>
      <c r="F66" s="310"/>
      <c r="G66" s="310"/>
      <c r="H66" s="310"/>
      <c r="I66" s="369"/>
    </row>
    <row r="67" spans="1:9" ht="12.75">
      <c r="A67" s="371"/>
      <c r="B67" s="310"/>
      <c r="C67" s="310"/>
      <c r="D67" s="310"/>
      <c r="E67" s="310"/>
      <c r="F67" s="310"/>
      <c r="G67" s="310"/>
      <c r="H67" s="310"/>
      <c r="I67" s="369"/>
    </row>
    <row r="68" spans="1:9" ht="12.75">
      <c r="A68" s="371"/>
      <c r="B68" s="310"/>
      <c r="C68" s="310"/>
      <c r="D68" s="310"/>
      <c r="E68" s="310"/>
      <c r="F68" s="310"/>
      <c r="G68" s="310"/>
      <c r="H68" s="310"/>
      <c r="I68" s="369"/>
    </row>
    <row r="69" spans="1:9" ht="12.75">
      <c r="A69" s="371"/>
      <c r="B69" s="310"/>
      <c r="C69" s="310"/>
      <c r="D69" s="310"/>
      <c r="E69" s="310"/>
      <c r="F69" s="310"/>
      <c r="G69" s="310"/>
      <c r="H69" s="310"/>
      <c r="I69" s="369"/>
    </row>
    <row r="70" spans="1:9" ht="12.75">
      <c r="A70" s="371"/>
      <c r="B70" s="310"/>
      <c r="C70" s="310"/>
      <c r="D70" s="310"/>
      <c r="E70" s="310"/>
      <c r="F70" s="310"/>
      <c r="G70" s="310"/>
      <c r="H70" s="310"/>
      <c r="I70" s="369"/>
    </row>
    <row r="71" spans="1:9" ht="12.75">
      <c r="A71" s="371"/>
      <c r="B71" s="310"/>
      <c r="C71" s="310"/>
      <c r="D71" s="310"/>
      <c r="E71" s="310"/>
      <c r="F71" s="310"/>
      <c r="G71" s="310"/>
      <c r="H71" s="310"/>
      <c r="I71" s="369"/>
    </row>
    <row r="72" spans="1:9" ht="12.75">
      <c r="A72" s="377"/>
      <c r="B72" s="313"/>
      <c r="C72" s="313"/>
      <c r="D72" s="313"/>
      <c r="E72" s="313"/>
      <c r="F72" s="313"/>
      <c r="G72" s="313"/>
      <c r="H72" s="313"/>
      <c r="I72" s="370"/>
    </row>
  </sheetData>
  <sheetProtection password="C7E2" sheet="1" objects="1" scenarios="1"/>
  <mergeCells count="13">
    <mergeCell ref="B24:C24"/>
    <mergeCell ref="B25:C25"/>
    <mergeCell ref="B26:C26"/>
    <mergeCell ref="D23:E23"/>
    <mergeCell ref="D24:E24"/>
    <mergeCell ref="D25:E25"/>
    <mergeCell ref="D26:E26"/>
    <mergeCell ref="F20:G20"/>
    <mergeCell ref="F21:G21"/>
    <mergeCell ref="B20:C20"/>
    <mergeCell ref="B21:C21"/>
    <mergeCell ref="B22:C22"/>
    <mergeCell ref="B23:C23"/>
  </mergeCells>
  <printOptions horizontalCentered="1"/>
  <pageMargins left="0.984251968503937" right="0.984251968503937" top="0.7874015748031497" bottom="1.141732283464567" header="0.5118110236220472" footer="0.5118110236220472"/>
  <pageSetup horizontalDpi="300" verticalDpi="300" orientation="portrait" paperSize="9" r:id="rId4"/>
  <headerFooter alignWithMargins="0">
    <oddFooter>&amp;C&amp;"Arial,Kurziv"&amp;12&amp;YProgram za izračun rezultata i provođenje natjecanja</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tabColor indexed="11"/>
  </sheetPr>
  <dimension ref="A2:I336"/>
  <sheetViews>
    <sheetView showGridLines="0" showRowColHeaders="0" zoomScalePageLayoutView="0" workbookViewId="0" topLeftCell="A1">
      <selection activeCell="K21" sqref="K21"/>
    </sheetView>
  </sheetViews>
  <sheetFormatPr defaultColWidth="9.140625" defaultRowHeight="12.75"/>
  <cols>
    <col min="1" max="16384" width="9.140625" style="6" customWidth="1"/>
  </cols>
  <sheetData>
    <row r="2" spans="2:8" ht="15">
      <c r="B2" s="31"/>
      <c r="C2" s="31" t="s">
        <v>70</v>
      </c>
      <c r="H2" s="8"/>
    </row>
    <row r="3" ht="12.75">
      <c r="G3" s="18" t="str">
        <f>IF(ISNONTEXT('Organizacija natjecanja'!H5)=TRUE,"",'Organizacija natjecanja'!H5)</f>
        <v>Lipik, 28.04.2009.g.</v>
      </c>
    </row>
    <row r="4" ht="12.75">
      <c r="G4" s="19" t="s">
        <v>71</v>
      </c>
    </row>
    <row r="5" ht="12.75">
      <c r="H5" s="8"/>
    </row>
    <row r="6" spans="4:8" ht="18">
      <c r="D6" s="32"/>
      <c r="E6" s="32" t="s">
        <v>72</v>
      </c>
      <c r="F6" s="32"/>
      <c r="G6" s="32"/>
      <c r="H6" s="32"/>
    </row>
    <row r="8" spans="5:8" ht="15">
      <c r="E8" s="20" t="str">
        <f>IF(ISNONTEXT('Organizacija natjecanja'!H2)=TRUE,"",'Organizacija natjecanja'!H2)</f>
        <v>KUP "BLJESAK"</v>
      </c>
      <c r="H8" s="21"/>
    </row>
    <row r="9" spans="4:8" ht="12.75">
      <c r="D9" s="7"/>
      <c r="E9" s="19" t="s">
        <v>73</v>
      </c>
      <c r="F9" s="7"/>
      <c r="G9" s="7"/>
      <c r="H9" s="7"/>
    </row>
    <row r="10" ht="12.75">
      <c r="D10" s="33"/>
    </row>
    <row r="11" spans="2:5" ht="15">
      <c r="B11" s="6" t="s">
        <v>69</v>
      </c>
      <c r="E11" s="98" t="str">
        <f>IF(ISNONTEXT('Upis rezultata A sektora'!D2)=TRUE,"",'Upis rezultata A sektora'!D2)</f>
        <v>Korana Karlovac</v>
      </c>
    </row>
    <row r="12" ht="12.75">
      <c r="E12" s="18"/>
    </row>
    <row r="13" spans="2:5" ht="12.75">
      <c r="B13" s="6" t="s">
        <v>62</v>
      </c>
      <c r="E13" s="18" t="str">
        <f>IF(ISNONTEXT('Organizacija natjecanja'!H9)=TRUE,"",'Organizacija natjecanja'!H9)</f>
        <v>SENIORI</v>
      </c>
    </row>
    <row r="15" spans="2:8" s="36" customFormat="1" ht="12">
      <c r="B15" s="34" t="s">
        <v>63</v>
      </c>
      <c r="C15" s="34"/>
      <c r="D15" s="35" t="s">
        <v>64</v>
      </c>
      <c r="E15" s="34"/>
      <c r="F15" s="34" t="s">
        <v>74</v>
      </c>
      <c r="G15" s="35" t="s">
        <v>65</v>
      </c>
      <c r="H15" s="34" t="s">
        <v>75</v>
      </c>
    </row>
    <row r="16" spans="2:8" ht="12.75">
      <c r="B16" s="37"/>
      <c r="C16" s="38"/>
      <c r="D16" s="38"/>
      <c r="E16" s="22"/>
      <c r="F16" s="22"/>
      <c r="G16" s="22"/>
      <c r="H16" s="39"/>
    </row>
    <row r="17" spans="2:8" s="68" customFormat="1" ht="15.75">
      <c r="B17" s="89">
        <f>VLOOKUP(D17,'Upis rezultata A sektora'!$E$2:$I$13,5,0)</f>
        <v>1</v>
      </c>
      <c r="C17" s="90"/>
      <c r="D17" s="96" t="str">
        <f>IF(ISNONTEXT('Upis rezultata A sektora'!E2)=TRUE,"",'Upis rezultata A sektora'!E2)</f>
        <v>Elvis Šinko</v>
      </c>
      <c r="E17" s="91"/>
      <c r="F17" s="92">
        <f>IF(ISNUMBER('Prijava ekipa i izvlačenje br.'!B2)=FALSE,"",'Prijava ekipa i izvlačenje br.'!B2)</f>
        <v>3</v>
      </c>
      <c r="G17" s="97" t="str">
        <f>IF((D17)="","","A")</f>
        <v>A</v>
      </c>
      <c r="H17" s="97">
        <f>IF(ISNUMBER('Upis rezultata A sektora'!C2)=FALSE,"",'Upis rezultata A sektora'!C2)</f>
        <v>1</v>
      </c>
    </row>
    <row r="18" spans="2:8" ht="12.75">
      <c r="B18" s="40"/>
      <c r="C18" s="29"/>
      <c r="D18" s="29"/>
      <c r="E18" s="25"/>
      <c r="F18" s="25"/>
      <c r="G18" s="25"/>
      <c r="H18" s="25"/>
    </row>
    <row r="20" spans="2:8" s="36" customFormat="1" ht="12">
      <c r="B20" s="41"/>
      <c r="C20" s="42" t="s">
        <v>76</v>
      </c>
      <c r="D20" s="43"/>
      <c r="E20" s="44" t="s">
        <v>77</v>
      </c>
      <c r="F20" s="43"/>
      <c r="G20" s="44" t="s">
        <v>78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79</v>
      </c>
      <c r="C25" s="6" t="str">
        <f>IF(ISNONTEXT('Organizacija natjecanja'!H22)=TRUE,"",'Organizacija natjecanja'!H22)</f>
        <v>Milenko Popović</v>
      </c>
      <c r="F25" s="6" t="s">
        <v>80</v>
      </c>
    </row>
    <row r="26" ht="12.75">
      <c r="B26" s="7"/>
    </row>
    <row r="27" ht="12.75">
      <c r="B27" s="7"/>
    </row>
    <row r="28" ht="12.75" customHeight="1">
      <c r="B28" s="7"/>
    </row>
    <row r="29" spans="1:9" ht="12.75">
      <c r="A29" s="30"/>
      <c r="B29" s="46"/>
      <c r="C29" s="30"/>
      <c r="D29" s="30"/>
      <c r="E29" s="30"/>
      <c r="F29" s="30"/>
      <c r="G29" s="30"/>
      <c r="H29" s="30"/>
      <c r="I29" s="30"/>
    </row>
    <row r="30" spans="1:9" ht="12.75">
      <c r="A30" s="30"/>
      <c r="B30" s="46"/>
      <c r="C30" s="30"/>
      <c r="D30" s="30"/>
      <c r="E30" s="30"/>
      <c r="F30" s="30"/>
      <c r="G30" s="30"/>
      <c r="H30" s="30"/>
      <c r="I30" s="30"/>
    </row>
    <row r="32" spans="2:3" ht="15">
      <c r="B32" s="31"/>
      <c r="C32" s="31" t="s">
        <v>70</v>
      </c>
    </row>
    <row r="33" ht="12.75">
      <c r="G33" s="18" t="str">
        <f>IF(ISNONTEXT('Organizacija natjecanja'!H5)=TRUE,"",'Organizacija natjecanja'!H5)</f>
        <v>Lipik, 28.04.2009.g.</v>
      </c>
    </row>
    <row r="34" ht="12.75">
      <c r="G34" s="19" t="s">
        <v>71</v>
      </c>
    </row>
    <row r="36" spans="4:8" ht="18">
      <c r="D36" s="32"/>
      <c r="E36" s="32" t="s">
        <v>72</v>
      </c>
      <c r="F36" s="32"/>
      <c r="G36" s="32"/>
      <c r="H36" s="32"/>
    </row>
    <row r="38" spans="5:8" ht="15">
      <c r="E38" s="20" t="str">
        <f>IF(ISNONTEXT('Organizacija natjecanja'!H2)=TRUE,"",'Organizacija natjecanja'!H2)</f>
        <v>KUP "BLJESAK"</v>
      </c>
      <c r="H38" s="21"/>
    </row>
    <row r="39" spans="4:8" ht="12.75">
      <c r="D39" s="7"/>
      <c r="E39" s="19" t="s">
        <v>73</v>
      </c>
      <c r="F39" s="7"/>
      <c r="G39" s="7"/>
      <c r="H39" s="7"/>
    </row>
    <row r="40" ht="12.75">
      <c r="D40" s="33"/>
    </row>
    <row r="41" spans="2:5" ht="15">
      <c r="B41" s="6" t="s">
        <v>61</v>
      </c>
      <c r="E41" s="20" t="str">
        <f>IF(ISNONTEXT('Upis rezultata A sektora'!D3)=TRUE,"",'Upis rezultata A sektora'!D3)</f>
        <v>Štuka Torčec</v>
      </c>
    </row>
    <row r="42" ht="12.75">
      <c r="E42" s="18"/>
    </row>
    <row r="43" spans="2:5" ht="12.75">
      <c r="B43" s="6" t="s">
        <v>62</v>
      </c>
      <c r="E43" s="18" t="str">
        <f>IF(ISNONTEXT('Organizacija natjecanja'!H9)=TRUE,"",'Organizacija natjecanja'!H9)</f>
        <v>SENIORI</v>
      </c>
    </row>
    <row r="45" spans="2:8" s="36" customFormat="1" ht="12">
      <c r="B45" s="34" t="s">
        <v>81</v>
      </c>
      <c r="C45" s="34"/>
      <c r="D45" s="35" t="s">
        <v>64</v>
      </c>
      <c r="E45" s="34"/>
      <c r="F45" s="34" t="s">
        <v>74</v>
      </c>
      <c r="G45" s="35" t="s">
        <v>65</v>
      </c>
      <c r="H45" s="34" t="s">
        <v>75</v>
      </c>
    </row>
    <row r="46" spans="2:8" ht="12.75">
      <c r="B46" s="37"/>
      <c r="C46" s="38"/>
      <c r="D46" s="38"/>
      <c r="E46" s="22"/>
      <c r="F46" s="22"/>
      <c r="G46" s="22"/>
      <c r="H46" s="39"/>
    </row>
    <row r="47" spans="2:8" s="68" customFormat="1" ht="15.75">
      <c r="B47" s="89">
        <f>VLOOKUP(D47,'Upis rezultata A sektora'!$E$2:$I$13,5,0)</f>
        <v>6</v>
      </c>
      <c r="C47" s="90"/>
      <c r="D47" s="96" t="str">
        <f>IF(ISNONTEXT('Upis rezultata A sektora'!E3)=TRUE,"",'Upis rezultata A sektora'!E3)</f>
        <v>Goran Štargl</v>
      </c>
      <c r="E47" s="91"/>
      <c r="F47" s="92">
        <f>IF(ISNUMBER('Prijava ekipa i izvlačenje br.'!B3)=FALSE,"",'Prijava ekipa i izvlačenje br.'!B3)</f>
        <v>7</v>
      </c>
      <c r="G47" s="97" t="str">
        <f>IF((D47)="","","A")</f>
        <v>A</v>
      </c>
      <c r="H47" s="97">
        <f>IF(ISNUMBER('Upis rezultata A sektora'!C3)=FALSE,"",'Upis rezultata A sektora'!C3)</f>
        <v>2</v>
      </c>
    </row>
    <row r="48" spans="2:8" ht="12.75">
      <c r="B48" s="40"/>
      <c r="C48" s="29"/>
      <c r="D48" s="29"/>
      <c r="E48" s="25"/>
      <c r="F48" s="25"/>
      <c r="G48" s="25"/>
      <c r="H48" s="25"/>
    </row>
    <row r="50" spans="2:8" s="36" customFormat="1" ht="12">
      <c r="B50" s="41"/>
      <c r="C50" s="42" t="s">
        <v>76</v>
      </c>
      <c r="D50" s="43"/>
      <c r="E50" s="44" t="s">
        <v>77</v>
      </c>
      <c r="F50" s="43"/>
      <c r="G50" s="44" t="s">
        <v>78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79</v>
      </c>
      <c r="C55" s="6" t="str">
        <f>IF(ISNONTEXT('Organizacija natjecanja'!H22)=TRUE,"",'Organizacija natjecanja'!H22)</f>
        <v>Milenko Popović</v>
      </c>
      <c r="F55" s="6" t="s">
        <v>80</v>
      </c>
    </row>
    <row r="56" ht="12.75">
      <c r="B56" s="7"/>
    </row>
    <row r="57" ht="12.75">
      <c r="B57" s="7"/>
    </row>
    <row r="58" spans="2:3" ht="15">
      <c r="B58" s="31"/>
      <c r="C58" s="31" t="s">
        <v>70</v>
      </c>
    </row>
    <row r="59" ht="12.75">
      <c r="G59" s="18" t="str">
        <f>IF(ISNONTEXT('Organizacija natjecanja'!H5)=TRUE,"",'Organizacija natjecanja'!H5)</f>
        <v>Lipik, 28.04.2009.g.</v>
      </c>
    </row>
    <row r="60" ht="12.75">
      <c r="G60" s="19" t="s">
        <v>71</v>
      </c>
    </row>
    <row r="62" spans="4:8" ht="18">
      <c r="D62" s="32"/>
      <c r="E62" s="32" t="s">
        <v>72</v>
      </c>
      <c r="F62" s="32"/>
      <c r="G62" s="32"/>
      <c r="H62" s="32"/>
    </row>
    <row r="64" spans="5:8" ht="15">
      <c r="E64" s="20" t="str">
        <f>IF(ISNONTEXT('Organizacija natjecanja'!H2)=TRUE,"",'Organizacija natjecanja'!H2)</f>
        <v>KUP "BLJESAK"</v>
      </c>
      <c r="H64" s="21"/>
    </row>
    <row r="65" spans="4:8" ht="12.75">
      <c r="D65" s="7"/>
      <c r="E65" s="19" t="s">
        <v>73</v>
      </c>
      <c r="F65" s="7"/>
      <c r="G65" s="7"/>
      <c r="H65" s="7"/>
    </row>
    <row r="66" ht="12.75">
      <c r="D66" s="33"/>
    </row>
    <row r="67" spans="2:5" ht="15">
      <c r="B67" s="6" t="s">
        <v>69</v>
      </c>
      <c r="E67" s="20" t="str">
        <f>IF(ISNONTEXT('Upis rezultata A sektora'!D4)=TRUE,"",'Upis rezultata A sektora'!D4)</f>
        <v>Rak Rakitje</v>
      </c>
    </row>
    <row r="68" ht="12.75">
      <c r="E68" s="18"/>
    </row>
    <row r="69" spans="2:5" ht="12.75">
      <c r="B69" s="6" t="s">
        <v>62</v>
      </c>
      <c r="E69" s="18" t="str">
        <f>IF(ISNONTEXT('Organizacija natjecanja'!H9)=TRUE,"",'Organizacija natjecanja'!H9)</f>
        <v>SENIORI</v>
      </c>
    </row>
    <row r="71" spans="1:9" ht="12.75">
      <c r="A71" s="36"/>
      <c r="B71" s="34" t="s">
        <v>63</v>
      </c>
      <c r="C71" s="34"/>
      <c r="D71" s="35" t="s">
        <v>64</v>
      </c>
      <c r="E71" s="34"/>
      <c r="F71" s="34" t="s">
        <v>74</v>
      </c>
      <c r="G71" s="35" t="s">
        <v>65</v>
      </c>
      <c r="H71" s="34" t="s">
        <v>75</v>
      </c>
      <c r="I71" s="36"/>
    </row>
    <row r="72" spans="2:8" ht="12.75">
      <c r="B72" s="37"/>
      <c r="C72" s="38"/>
      <c r="D72" s="38"/>
      <c r="E72" s="22"/>
      <c r="F72" s="22"/>
      <c r="G72" s="22"/>
      <c r="H72" s="39"/>
    </row>
    <row r="73" spans="2:8" s="68" customFormat="1" ht="15.75">
      <c r="B73" s="89">
        <f>VLOOKUP(D73,'Upis rezultata A sektora'!$E$2:$I$13,5,0)</f>
        <v>11</v>
      </c>
      <c r="C73" s="90"/>
      <c r="D73" s="96" t="str">
        <f>IF(ISNONTEXT('Upis rezultata A sektora'!E4)=TRUE,"",'Upis rezultata A sektora'!E4)</f>
        <v>Mladen Kečkeš</v>
      </c>
      <c r="E73" s="91"/>
      <c r="F73" s="92">
        <f>IF(ISNUMBER('Prijava ekipa i izvlačenje br.'!B4)=FALSE,"",'Prijava ekipa i izvlačenje br.'!B4)</f>
        <v>9</v>
      </c>
      <c r="G73" s="97" t="str">
        <f>IF((D73)="","","A")</f>
        <v>A</v>
      </c>
      <c r="H73" s="97">
        <f>IF(ISNUMBER('Upis rezultata A sektora'!C4)=FALSE,"",'Upis rezultata A sektora'!C4)</f>
        <v>3</v>
      </c>
    </row>
    <row r="74" spans="2:8" ht="12.75">
      <c r="B74" s="40"/>
      <c r="C74" s="29"/>
      <c r="D74" s="29"/>
      <c r="E74" s="25"/>
      <c r="F74" s="25"/>
      <c r="G74" s="25"/>
      <c r="H74" s="25"/>
    </row>
    <row r="76" spans="1:9" ht="12.75">
      <c r="A76" s="36"/>
      <c r="B76" s="41"/>
      <c r="C76" s="42" t="s">
        <v>76</v>
      </c>
      <c r="D76" s="43"/>
      <c r="E76" s="44" t="s">
        <v>77</v>
      </c>
      <c r="F76" s="43"/>
      <c r="G76" s="44" t="s">
        <v>78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79</v>
      </c>
      <c r="C81" s="6" t="str">
        <f>IF(ISNONTEXT('Organizacija natjecanja'!H22)=TRUE,"",'Organizacija natjecanja'!H22)</f>
        <v>Milenko Popović</v>
      </c>
      <c r="F81" s="6" t="s">
        <v>80</v>
      </c>
    </row>
    <row r="82" ht="12.75">
      <c r="B82" s="7"/>
    </row>
    <row r="83" ht="12.75">
      <c r="B83" s="7"/>
    </row>
    <row r="84" ht="12.75">
      <c r="B84" s="7"/>
    </row>
    <row r="85" ht="12.75">
      <c r="B85" s="7"/>
    </row>
    <row r="86" spans="1:9" ht="12.75">
      <c r="A86" s="30"/>
      <c r="B86" s="46"/>
      <c r="C86" s="30"/>
      <c r="D86" s="30"/>
      <c r="E86" s="30"/>
      <c r="F86" s="30"/>
      <c r="G86" s="30"/>
      <c r="H86" s="30"/>
      <c r="I86" s="30"/>
    </row>
    <row r="88" spans="2:3" ht="15">
      <c r="B88" s="31"/>
      <c r="C88" s="31" t="s">
        <v>70</v>
      </c>
    </row>
    <row r="89" ht="12.75">
      <c r="G89" s="18" t="str">
        <f>IF(ISNONTEXT('Organizacija natjecanja'!H5)=TRUE,"",'Organizacija natjecanja'!H5)</f>
        <v>Lipik, 28.04.2009.g.</v>
      </c>
    </row>
    <row r="90" ht="12.75">
      <c r="G90" s="19" t="s">
        <v>71</v>
      </c>
    </row>
    <row r="92" spans="4:8" ht="18">
      <c r="D92" s="32"/>
      <c r="E92" s="32" t="s">
        <v>72</v>
      </c>
      <c r="F92" s="32"/>
      <c r="G92" s="32"/>
      <c r="H92" s="32"/>
    </row>
    <row r="94" spans="5:8" ht="15">
      <c r="E94" s="20" t="str">
        <f>IF(ISNONTEXT('Organizacija natjecanja'!H2)=TRUE,"",'Organizacija natjecanja'!H2)</f>
        <v>KUP "BLJESAK"</v>
      </c>
      <c r="H94" s="21"/>
    </row>
    <row r="95" spans="4:8" ht="12.75">
      <c r="D95" s="7"/>
      <c r="E95" s="19" t="s">
        <v>73</v>
      </c>
      <c r="F95" s="7"/>
      <c r="G95" s="7"/>
      <c r="H95" s="7"/>
    </row>
    <row r="96" ht="12.75">
      <c r="D96" s="33"/>
    </row>
    <row r="97" spans="2:5" ht="15">
      <c r="B97" s="6" t="s">
        <v>61</v>
      </c>
      <c r="E97" s="20" t="str">
        <f>IF(ISNONTEXT('Upis rezultata A sektora'!D5)=TRUE,"",'Upis rezultata A sektora'!D5)</f>
        <v>Bjelovar Bjelovar</v>
      </c>
    </row>
    <row r="98" ht="12.75">
      <c r="E98" s="18"/>
    </row>
    <row r="99" spans="2:5" ht="12.75">
      <c r="B99" s="6" t="s">
        <v>62</v>
      </c>
      <c r="E99" s="18" t="str">
        <f>IF(ISNONTEXT('Organizacija natjecanja'!H9)=TRUE,"",'Organizacija natjecanja'!H9)</f>
        <v>SENIORI</v>
      </c>
    </row>
    <row r="101" spans="1:9" ht="12.75">
      <c r="A101" s="36"/>
      <c r="B101" s="34" t="s">
        <v>81</v>
      </c>
      <c r="C101" s="34"/>
      <c r="D101" s="35" t="s">
        <v>64</v>
      </c>
      <c r="E101" s="34"/>
      <c r="F101" s="34" t="s">
        <v>74</v>
      </c>
      <c r="G101" s="35" t="s">
        <v>65</v>
      </c>
      <c r="H101" s="34" t="s">
        <v>75</v>
      </c>
      <c r="I101" s="36"/>
    </row>
    <row r="102" spans="2:8" ht="12.75">
      <c r="B102" s="37"/>
      <c r="C102" s="38"/>
      <c r="D102" s="38"/>
      <c r="E102" s="22"/>
      <c r="F102" s="22"/>
      <c r="G102" s="22"/>
      <c r="H102" s="39"/>
    </row>
    <row r="103" spans="2:8" s="68" customFormat="1" ht="15.75">
      <c r="B103" s="89">
        <f>VLOOKUP(D103,'Upis rezultata A sektora'!$E$2:$I$13,5,0)</f>
        <v>16</v>
      </c>
      <c r="C103" s="90"/>
      <c r="D103" s="96" t="str">
        <f>IF(ISNONTEXT('Upis rezultata A sektora'!E5)=TRUE,"",'Upis rezultata A sektora'!E5)</f>
        <v>Emil Lukman</v>
      </c>
      <c r="E103" s="91"/>
      <c r="F103" s="92">
        <f>IF(ISNUMBER('Prijava ekipa i izvlačenje br.'!B5)=FALSE,"",'Prijava ekipa i izvlačenje br.'!B5)</f>
        <v>11</v>
      </c>
      <c r="G103" s="97" t="str">
        <f>IF((D103)="","","A")</f>
        <v>A</v>
      </c>
      <c r="H103" s="97">
        <f>IF(ISNUMBER('Upis rezultata A sektora'!C5)=FALSE,"",'Upis rezultata A sektora'!C5)</f>
        <v>4</v>
      </c>
    </row>
    <row r="104" spans="2:8" ht="12.75">
      <c r="B104" s="40"/>
      <c r="C104" s="29"/>
      <c r="D104" s="29"/>
      <c r="E104" s="25"/>
      <c r="F104" s="25"/>
      <c r="G104" s="25"/>
      <c r="H104" s="25"/>
    </row>
    <row r="106" spans="1:9" ht="12.75">
      <c r="A106" s="36"/>
      <c r="B106" s="41"/>
      <c r="C106" s="42" t="s">
        <v>76</v>
      </c>
      <c r="D106" s="43"/>
      <c r="E106" s="44" t="s">
        <v>77</v>
      </c>
      <c r="F106" s="43"/>
      <c r="G106" s="44" t="s">
        <v>78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79</v>
      </c>
      <c r="C111" s="6" t="str">
        <f>IF(ISNONTEXT('Organizacija natjecanja'!H22)=TRUE,"",'Organizacija natjecanja'!H22)</f>
        <v>Milenko Popović</v>
      </c>
      <c r="F111" s="6" t="s">
        <v>80</v>
      </c>
    </row>
    <row r="112" ht="12.75">
      <c r="B112" s="7"/>
    </row>
    <row r="113" ht="12.75">
      <c r="B113" s="7"/>
    </row>
    <row r="114" spans="2:3" ht="15">
      <c r="B114" s="31"/>
      <c r="C114" s="31" t="s">
        <v>70</v>
      </c>
    </row>
    <row r="115" ht="12.75">
      <c r="G115" s="18" t="str">
        <f>IF(ISNONTEXT('Organizacija natjecanja'!H5)=TRUE,"",'Organizacija natjecanja'!H5)</f>
        <v>Lipik, 28.04.2009.g.</v>
      </c>
    </row>
    <row r="116" ht="12.75">
      <c r="G116" s="19" t="s">
        <v>71</v>
      </c>
    </row>
    <row r="118" spans="4:8" ht="18">
      <c r="D118" s="32"/>
      <c r="E118" s="32" t="s">
        <v>72</v>
      </c>
      <c r="F118" s="32"/>
      <c r="G118" s="32"/>
      <c r="H118" s="32"/>
    </row>
    <row r="120" spans="5:8" ht="15">
      <c r="E120" s="20" t="str">
        <f>IF(ISNONTEXT('Organizacija natjecanja'!H2)=TRUE,"",'Organizacija natjecanja'!H2)</f>
        <v>KUP "BLJESAK"</v>
      </c>
      <c r="H120" s="21"/>
    </row>
    <row r="121" spans="4:8" ht="12.75">
      <c r="D121" s="7"/>
      <c r="E121" s="19" t="s">
        <v>73</v>
      </c>
      <c r="F121" s="7"/>
      <c r="G121" s="7"/>
      <c r="H121" s="7"/>
    </row>
    <row r="122" ht="12.75">
      <c r="D122" s="33"/>
    </row>
    <row r="123" spans="2:5" ht="15">
      <c r="B123" s="6" t="s">
        <v>69</v>
      </c>
      <c r="E123" s="20" t="str">
        <f>IF(ISNONTEXT('Upis rezultata A sektora'!D6)=TRUE,"",'Upis rezultata A sektora'!D6)</f>
        <v>Varaždin Varaždin</v>
      </c>
    </row>
    <row r="124" ht="12.75">
      <c r="E124" s="18"/>
    </row>
    <row r="125" spans="2:5" ht="12.75">
      <c r="B125" s="6" t="s">
        <v>62</v>
      </c>
      <c r="E125" s="18" t="str">
        <f>IF(ISNONTEXT('Organizacija natjecanja'!H9)=TRUE,"",'Organizacija natjecanja'!H9)</f>
        <v>SENIORI</v>
      </c>
    </row>
    <row r="127" spans="1:9" ht="12.75">
      <c r="A127" s="36"/>
      <c r="B127" s="34" t="s">
        <v>63</v>
      </c>
      <c r="C127" s="34"/>
      <c r="D127" s="35" t="s">
        <v>64</v>
      </c>
      <c r="E127" s="34"/>
      <c r="F127" s="34" t="s">
        <v>74</v>
      </c>
      <c r="G127" s="35" t="s">
        <v>65</v>
      </c>
      <c r="H127" s="34" t="s">
        <v>75</v>
      </c>
      <c r="I127" s="36"/>
    </row>
    <row r="128" spans="2:8" ht="12.75">
      <c r="B128" s="37"/>
      <c r="C128" s="38"/>
      <c r="D128" s="38"/>
      <c r="E128" s="22"/>
      <c r="F128" s="22"/>
      <c r="G128" s="22"/>
      <c r="H128" s="39"/>
    </row>
    <row r="129" spans="2:8" s="68" customFormat="1" ht="15.75">
      <c r="B129" s="89">
        <f>VLOOKUP(D129,'Upis rezultata A sektora'!$E$2:$I$13,5,0)</f>
        <v>21</v>
      </c>
      <c r="C129" s="90"/>
      <c r="D129" s="96" t="str">
        <f>IF(ISNONTEXT('Upis rezultata A sektora'!E6)=TRUE,"",'Upis rezultata A sektora'!E6)</f>
        <v>Ivica Bonino Hasan</v>
      </c>
      <c r="E129" s="91"/>
      <c r="F129" s="92">
        <f>IF(ISNUMBER('Prijava ekipa i izvlačenje br.'!B6)=FALSE,"",'Prijava ekipa i izvlačenje br.'!B6)</f>
        <v>10</v>
      </c>
      <c r="G129" s="97" t="str">
        <f>IF((D129)="","","A")</f>
        <v>A</v>
      </c>
      <c r="H129" s="97">
        <f>IF(ISNUMBER('Upis rezultata A sektora'!C6)=FALSE,"",'Upis rezultata A sektora'!C6)</f>
        <v>5</v>
      </c>
    </row>
    <row r="130" spans="2:8" ht="12.75">
      <c r="B130" s="40"/>
      <c r="C130" s="29"/>
      <c r="D130" s="29"/>
      <c r="E130" s="25"/>
      <c r="F130" s="25"/>
      <c r="G130" s="25"/>
      <c r="H130" s="25"/>
    </row>
    <row r="132" spans="1:9" ht="12.75">
      <c r="A132" s="36"/>
      <c r="B132" s="41"/>
      <c r="C132" s="42" t="s">
        <v>76</v>
      </c>
      <c r="D132" s="43"/>
      <c r="E132" s="44" t="s">
        <v>77</v>
      </c>
      <c r="F132" s="43"/>
      <c r="G132" s="44" t="s">
        <v>78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79</v>
      </c>
      <c r="C137" s="6" t="str">
        <f>IF(ISNONTEXT('Organizacija natjecanja'!H22)=TRUE,"",'Organizacija natjecanja'!H22)</f>
        <v>Milenko Popović</v>
      </c>
      <c r="F137" s="6" t="s">
        <v>80</v>
      </c>
    </row>
    <row r="138" ht="12.75">
      <c r="B138" s="7"/>
    </row>
    <row r="139" ht="12.75">
      <c r="B139" s="7"/>
    </row>
    <row r="140" ht="12.75">
      <c r="B140" s="7"/>
    </row>
    <row r="141" ht="12.75">
      <c r="B141" s="7"/>
    </row>
    <row r="142" spans="1:9" ht="12.75">
      <c r="A142" s="30"/>
      <c r="B142" s="46"/>
      <c r="C142" s="30"/>
      <c r="D142" s="30"/>
      <c r="E142" s="30"/>
      <c r="F142" s="30"/>
      <c r="G142" s="30"/>
      <c r="H142" s="30"/>
      <c r="I142" s="30"/>
    </row>
    <row r="144" spans="2:3" ht="15">
      <c r="B144" s="31"/>
      <c r="C144" s="31" t="s">
        <v>70</v>
      </c>
    </row>
    <row r="145" ht="12.75">
      <c r="G145" s="18" t="str">
        <f>IF(ISNONTEXT('Organizacija natjecanja'!H5)=TRUE,"",'Organizacija natjecanja'!H5)</f>
        <v>Lipik, 28.04.2009.g.</v>
      </c>
    </row>
    <row r="146" ht="12.75">
      <c r="G146" s="19" t="s">
        <v>71</v>
      </c>
    </row>
    <row r="148" spans="4:8" ht="18">
      <c r="D148" s="32"/>
      <c r="E148" s="32" t="s">
        <v>72</v>
      </c>
      <c r="F148" s="32"/>
      <c r="G148" s="32"/>
      <c r="H148" s="32"/>
    </row>
    <row r="150" spans="5:8" ht="15">
      <c r="E150" s="20" t="str">
        <f>IF(ISNONTEXT('Organizacija natjecanja'!H2)=TRUE,"",'Organizacija natjecanja'!H2)</f>
        <v>KUP "BLJESAK"</v>
      </c>
      <c r="H150" s="21"/>
    </row>
    <row r="151" spans="4:8" ht="12.75">
      <c r="D151" s="7"/>
      <c r="E151" s="19" t="s">
        <v>73</v>
      </c>
      <c r="F151" s="7"/>
      <c r="G151" s="7"/>
      <c r="H151" s="7"/>
    </row>
    <row r="152" ht="12.75">
      <c r="D152" s="33"/>
    </row>
    <row r="153" spans="2:5" ht="15">
      <c r="B153" s="6" t="s">
        <v>61</v>
      </c>
      <c r="E153" s="20" t="str">
        <f>IF(ISNONTEXT('Upis rezultata A sektora'!D7)=TRUE,"",'Upis rezultata A sektora'!D7)</f>
        <v>Azzuro Varaždin</v>
      </c>
    </row>
    <row r="154" ht="12.75">
      <c r="E154" s="18"/>
    </row>
    <row r="155" spans="2:5" ht="12.75">
      <c r="B155" s="6" t="s">
        <v>62</v>
      </c>
      <c r="E155" s="18" t="str">
        <f>IF(ISNONTEXT('Organizacija natjecanja'!H9)=TRUE,"",'Organizacija natjecanja'!H9)</f>
        <v>SENIORI</v>
      </c>
    </row>
    <row r="157" spans="1:9" ht="12.75">
      <c r="A157" s="36"/>
      <c r="B157" s="34" t="s">
        <v>81</v>
      </c>
      <c r="C157" s="34"/>
      <c r="D157" s="35" t="s">
        <v>64</v>
      </c>
      <c r="E157" s="34"/>
      <c r="F157" s="34" t="s">
        <v>74</v>
      </c>
      <c r="G157" s="35" t="s">
        <v>65</v>
      </c>
      <c r="H157" s="34" t="s">
        <v>75</v>
      </c>
      <c r="I157" s="36"/>
    </row>
    <row r="158" spans="2:8" ht="12.75">
      <c r="B158" s="37"/>
      <c r="C158" s="38"/>
      <c r="D158" s="38"/>
      <c r="E158" s="22"/>
      <c r="F158" s="22"/>
      <c r="G158" s="22"/>
      <c r="H158" s="39"/>
    </row>
    <row r="159" spans="2:8" s="68" customFormat="1" ht="15.75">
      <c r="B159" s="89">
        <f>VLOOKUP(D159,'Upis rezultata A sektora'!$E$2:$I$13,5,0)</f>
        <v>26</v>
      </c>
      <c r="C159" s="90"/>
      <c r="D159" s="96" t="str">
        <f>IF(ISNONTEXT('Upis rezultata A sektora'!E7)=TRUE,"",'Upis rezultata A sektora'!E7)</f>
        <v>Dražen Bajzek</v>
      </c>
      <c r="E159" s="91"/>
      <c r="F159" s="92">
        <f>IF(ISNUMBER('Prijava ekipa i izvlačenje br.'!B7)=FALSE,"",'Prijava ekipa i izvlačenje br.'!B7)</f>
        <v>4</v>
      </c>
      <c r="G159" s="97" t="str">
        <f>IF((D159)="","","A")</f>
        <v>A</v>
      </c>
      <c r="H159" s="97">
        <f>IF(ISNUMBER('Upis rezultata A sektora'!C7)=FALSE,"",'Upis rezultata A sektora'!C7)</f>
        <v>6</v>
      </c>
    </row>
    <row r="160" spans="2:8" ht="12.75">
      <c r="B160" s="40"/>
      <c r="C160" s="29"/>
      <c r="D160" s="29"/>
      <c r="E160" s="25"/>
      <c r="F160" s="25"/>
      <c r="G160" s="25"/>
      <c r="H160" s="25"/>
    </row>
    <row r="162" spans="1:9" ht="12.75">
      <c r="A162" s="36"/>
      <c r="B162" s="41"/>
      <c r="C162" s="42" t="s">
        <v>76</v>
      </c>
      <c r="D162" s="43"/>
      <c r="E162" s="44" t="s">
        <v>77</v>
      </c>
      <c r="F162" s="43"/>
      <c r="G162" s="44" t="s">
        <v>78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79</v>
      </c>
      <c r="C167" s="6" t="str">
        <f>IF(ISNONTEXT('Organizacija natjecanja'!H22)=TRUE,"",'Organizacija natjecanja'!H22)</f>
        <v>Milenko Popović</v>
      </c>
      <c r="F167" s="6" t="s">
        <v>80</v>
      </c>
    </row>
    <row r="168" ht="12.75">
      <c r="B168" s="7"/>
    </row>
    <row r="169" ht="12.75">
      <c r="B169" s="7"/>
    </row>
    <row r="170" spans="2:3" ht="15">
      <c r="B170" s="31"/>
      <c r="C170" s="31" t="s">
        <v>70</v>
      </c>
    </row>
    <row r="171" ht="12.75">
      <c r="G171" s="18" t="str">
        <f>IF(ISNONTEXT('Organizacija natjecanja'!H5)=TRUE,"",'Organizacija natjecanja'!H5)</f>
        <v>Lipik, 28.04.2009.g.</v>
      </c>
    </row>
    <row r="172" ht="12.75">
      <c r="G172" s="19" t="s">
        <v>71</v>
      </c>
    </row>
    <row r="174" spans="4:8" ht="18">
      <c r="D174" s="32"/>
      <c r="E174" s="32" t="s">
        <v>72</v>
      </c>
      <c r="F174" s="32"/>
      <c r="G174" s="32"/>
      <c r="H174" s="32"/>
    </row>
    <row r="176" spans="5:8" ht="15">
      <c r="E176" s="20" t="str">
        <f>IF(ISNONTEXT('Organizacija natjecanja'!H2)=TRUE,"",'Organizacija natjecanja'!H2)</f>
        <v>KUP "BLJESAK"</v>
      </c>
      <c r="H176" s="21"/>
    </row>
    <row r="177" spans="4:8" ht="12.75">
      <c r="D177" s="7"/>
      <c r="E177" s="19" t="s">
        <v>73</v>
      </c>
      <c r="F177" s="7"/>
      <c r="G177" s="7"/>
      <c r="H177" s="7"/>
    </row>
    <row r="178" ht="12.75">
      <c r="D178" s="33"/>
    </row>
    <row r="179" spans="2:5" ht="15">
      <c r="B179" s="6" t="s">
        <v>69</v>
      </c>
      <c r="E179" s="20" t="str">
        <f>IF(ISNONTEXT('Upis rezultata A sektora'!D8)=TRUE,"",'Upis rezultata A sektora'!D8)</f>
        <v>Trnje-ŠR Zagreb</v>
      </c>
    </row>
    <row r="180" ht="12.75">
      <c r="E180" s="18"/>
    </row>
    <row r="181" spans="2:5" ht="12.75">
      <c r="B181" s="6" t="s">
        <v>62</v>
      </c>
      <c r="E181" s="18" t="str">
        <f>IF(ISNONTEXT('Organizacija natjecanja'!H9)=TRUE,"",'Organizacija natjecanja'!H9)</f>
        <v>SENIORI</v>
      </c>
    </row>
    <row r="183" spans="1:9" ht="12.75">
      <c r="A183" s="36"/>
      <c r="B183" s="34" t="s">
        <v>63</v>
      </c>
      <c r="C183" s="34"/>
      <c r="D183" s="35" t="s">
        <v>64</v>
      </c>
      <c r="E183" s="34"/>
      <c r="F183" s="34" t="s">
        <v>74</v>
      </c>
      <c r="G183" s="35" t="s">
        <v>65</v>
      </c>
      <c r="H183" s="34" t="s">
        <v>75</v>
      </c>
      <c r="I183" s="36"/>
    </row>
    <row r="184" spans="2:8" ht="12.75">
      <c r="B184" s="37"/>
      <c r="C184" s="38"/>
      <c r="D184" s="38"/>
      <c r="E184" s="22"/>
      <c r="F184" s="22"/>
      <c r="G184" s="22"/>
      <c r="H184" s="39"/>
    </row>
    <row r="185" spans="2:8" s="68" customFormat="1" ht="15.75">
      <c r="B185" s="89">
        <f>VLOOKUP(D185,'Upis rezultata A sektora'!$E$2:$I$13,5,0)</f>
        <v>31</v>
      </c>
      <c r="C185" s="90"/>
      <c r="D185" s="96" t="str">
        <f>IF(ISNONTEXT('Upis rezultata A sektora'!E8)=TRUE,"",'Upis rezultata A sektora'!E8)</f>
        <v>Zdravko Gotovac</v>
      </c>
      <c r="E185" s="91"/>
      <c r="F185" s="92">
        <f>IF(ISNUMBER('Prijava ekipa i izvlačenje br.'!B8)=FALSE,"",'Prijava ekipa i izvlačenje br.'!B8)</f>
        <v>2</v>
      </c>
      <c r="G185" s="97" t="str">
        <f>IF((D185)="","","A")</f>
        <v>A</v>
      </c>
      <c r="H185" s="97">
        <f>IF(ISNUMBER('Upis rezultata A sektora'!C8)=FALSE,"",'Upis rezultata A sektora'!C8)</f>
        <v>7</v>
      </c>
    </row>
    <row r="186" spans="2:8" ht="12.75">
      <c r="B186" s="40"/>
      <c r="C186" s="29"/>
      <c r="D186" s="29"/>
      <c r="E186" s="25"/>
      <c r="F186" s="25"/>
      <c r="G186" s="25"/>
      <c r="H186" s="25"/>
    </row>
    <row r="188" spans="1:9" ht="12.75">
      <c r="A188" s="36"/>
      <c r="B188" s="41"/>
      <c r="C188" s="42" t="s">
        <v>76</v>
      </c>
      <c r="D188" s="43"/>
      <c r="E188" s="44" t="s">
        <v>77</v>
      </c>
      <c r="F188" s="43"/>
      <c r="G188" s="44" t="s">
        <v>78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79</v>
      </c>
      <c r="C193" s="6" t="str">
        <f>IF(ISNONTEXT('Organizacija natjecanja'!H22)=TRUE,"",'Organizacija natjecanja'!H22)</f>
        <v>Milenko Popović</v>
      </c>
      <c r="F193" s="6" t="s">
        <v>80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70</v>
      </c>
    </row>
    <row r="201" ht="12.75">
      <c r="G201" s="18" t="str">
        <f>IF(ISNONTEXT('Organizacija natjecanja'!H5)=TRUE,"",'Organizacija natjecanja'!H5)</f>
        <v>Lipik, 28.04.2009.g.</v>
      </c>
    </row>
    <row r="202" ht="12.75">
      <c r="G202" s="19" t="s">
        <v>71</v>
      </c>
    </row>
    <row r="204" spans="4:8" ht="18">
      <c r="D204" s="32"/>
      <c r="E204" s="32" t="s">
        <v>72</v>
      </c>
      <c r="F204" s="32"/>
      <c r="G204" s="32"/>
      <c r="H204" s="32"/>
    </row>
    <row r="206" spans="5:8" ht="15">
      <c r="E206" s="20" t="str">
        <f>IF(ISNONTEXT('Organizacija natjecanja'!H2)=TRUE,"",'Organizacija natjecanja'!H2)</f>
        <v>KUP "BLJESAK"</v>
      </c>
      <c r="H206" s="21"/>
    </row>
    <row r="207" spans="4:8" ht="12.75">
      <c r="D207" s="7"/>
      <c r="E207" s="19" t="s">
        <v>73</v>
      </c>
      <c r="F207" s="7"/>
      <c r="G207" s="7"/>
      <c r="H207" s="7"/>
    </row>
    <row r="208" ht="12.75">
      <c r="D208" s="33"/>
    </row>
    <row r="209" spans="2:5" ht="15">
      <c r="B209" s="6" t="s">
        <v>61</v>
      </c>
      <c r="E209" s="20" t="str">
        <f>IF(ISNONTEXT('Upis rezultata A sektora'!D9)=TRUE,"",'Upis rezultata A sektora'!D9)</f>
        <v>Klen N.Gradiška</v>
      </c>
    </row>
    <row r="210" ht="12.75">
      <c r="E210" s="18"/>
    </row>
    <row r="211" spans="2:5" ht="12.75">
      <c r="B211" s="6" t="s">
        <v>62</v>
      </c>
      <c r="E211" s="18" t="str">
        <f>IF(ISNONTEXT('Organizacija natjecanja'!H9)=TRUE,"",'Organizacija natjecanja'!H9)</f>
        <v>SENIORI</v>
      </c>
    </row>
    <row r="213" spans="1:9" ht="12.75">
      <c r="A213" s="36"/>
      <c r="B213" s="34" t="s">
        <v>81</v>
      </c>
      <c r="C213" s="34"/>
      <c r="D213" s="35" t="s">
        <v>64</v>
      </c>
      <c r="E213" s="34"/>
      <c r="F213" s="34" t="s">
        <v>74</v>
      </c>
      <c r="G213" s="35" t="s">
        <v>65</v>
      </c>
      <c r="H213" s="34" t="s">
        <v>75</v>
      </c>
      <c r="I213" s="36"/>
    </row>
    <row r="214" spans="2:8" ht="12.75">
      <c r="B214" s="37"/>
      <c r="C214" s="38"/>
      <c r="D214" s="38"/>
      <c r="E214" s="22"/>
      <c r="F214" s="22"/>
      <c r="G214" s="22"/>
      <c r="H214" s="39"/>
    </row>
    <row r="215" spans="2:8" s="68" customFormat="1" ht="15.75">
      <c r="B215" s="89">
        <f>VLOOKUP(D215,'Upis rezultata A sektora'!$E$2:$I$13,5,0)</f>
        <v>36</v>
      </c>
      <c r="C215" s="90"/>
      <c r="D215" s="96" t="str">
        <f>IF(ISNONTEXT('Upis rezultata A sektora'!E9)=TRUE,"",'Upis rezultata A sektora'!E9)</f>
        <v>Damir Dević</v>
      </c>
      <c r="E215" s="91"/>
      <c r="F215" s="92">
        <f>IF(ISNUMBER('Prijava ekipa i izvlačenje br.'!B9)=FALSE,"",'Prijava ekipa i izvlačenje br.'!B9)</f>
        <v>6</v>
      </c>
      <c r="G215" s="97" t="str">
        <f>IF((D215)="","","A")</f>
        <v>A</v>
      </c>
      <c r="H215" s="97">
        <f>IF(ISNUMBER('Upis rezultata A sektora'!C9)=FALSE,"",'Upis rezultata A sektora'!C9)</f>
        <v>8</v>
      </c>
    </row>
    <row r="216" spans="2:8" ht="12.75">
      <c r="B216" s="40"/>
      <c r="C216" s="29"/>
      <c r="D216" s="29"/>
      <c r="E216" s="25"/>
      <c r="F216" s="25"/>
      <c r="G216" s="25"/>
      <c r="H216" s="25"/>
    </row>
    <row r="218" spans="1:9" ht="12.75">
      <c r="A218" s="36"/>
      <c r="B218" s="41"/>
      <c r="C218" s="42" t="s">
        <v>76</v>
      </c>
      <c r="D218" s="43"/>
      <c r="E218" s="44" t="s">
        <v>77</v>
      </c>
      <c r="F218" s="43"/>
      <c r="G218" s="44" t="s">
        <v>78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79</v>
      </c>
      <c r="C223" s="6" t="str">
        <f>IF(ISNONTEXT('Organizacija natjecanja'!H22)=TRUE,"",'Organizacija natjecanja'!H22)</f>
        <v>Milenko Popović</v>
      </c>
      <c r="F223" s="6" t="s">
        <v>80</v>
      </c>
    </row>
    <row r="224" ht="12.75">
      <c r="B224" s="7"/>
    </row>
    <row r="225" ht="12.75">
      <c r="B225" s="7"/>
    </row>
    <row r="226" spans="2:3" ht="15">
      <c r="B226" s="31"/>
      <c r="C226" s="31" t="s">
        <v>70</v>
      </c>
    </row>
    <row r="227" ht="12.75">
      <c r="G227" s="18" t="str">
        <f>IF(ISNONTEXT('Organizacija natjecanja'!H5)=TRUE,"",'Organizacija natjecanja'!H5)</f>
        <v>Lipik, 28.04.2009.g.</v>
      </c>
    </row>
    <row r="228" ht="12.75">
      <c r="G228" s="19" t="s">
        <v>71</v>
      </c>
    </row>
    <row r="230" spans="4:8" ht="18">
      <c r="D230" s="32"/>
      <c r="E230" s="32" t="s">
        <v>72</v>
      </c>
      <c r="F230" s="32"/>
      <c r="G230" s="32"/>
      <c r="H230" s="32"/>
    </row>
    <row r="232" spans="5:8" ht="15">
      <c r="E232" s="20" t="str">
        <f>IF(ISNONTEXT('Organizacija natjecanja'!H2)=TRUE,"",'Organizacija natjecanja'!H2)</f>
        <v>KUP "BLJESAK"</v>
      </c>
      <c r="H232" s="21"/>
    </row>
    <row r="233" spans="4:8" ht="12.75">
      <c r="D233" s="7"/>
      <c r="E233" s="19" t="s">
        <v>73</v>
      </c>
      <c r="F233" s="7"/>
      <c r="G233" s="7"/>
      <c r="H233" s="7"/>
    </row>
    <row r="234" ht="12.75">
      <c r="D234" s="33"/>
    </row>
    <row r="235" spans="2:5" ht="15">
      <c r="B235" s="6" t="s">
        <v>69</v>
      </c>
      <c r="E235" s="20" t="str">
        <f>IF(ISNONTEXT('Upis rezultata A sektora'!D10)=TRUE,"",'Upis rezultata A sektora'!D10)</f>
        <v>Bjelka GME Sunja</v>
      </c>
    </row>
    <row r="236" ht="12.75">
      <c r="E236" s="18"/>
    </row>
    <row r="237" spans="2:5" ht="12.75">
      <c r="B237" s="6" t="s">
        <v>62</v>
      </c>
      <c r="E237" s="18" t="str">
        <f>IF(ISNONTEXT('Organizacija natjecanja'!H9)=TRUE,"",'Organizacija natjecanja'!H9)</f>
        <v>SENIORI</v>
      </c>
    </row>
    <row r="239" spans="1:9" ht="12.75">
      <c r="A239" s="36"/>
      <c r="B239" s="34" t="s">
        <v>63</v>
      </c>
      <c r="C239" s="34"/>
      <c r="D239" s="35" t="s">
        <v>64</v>
      </c>
      <c r="E239" s="34"/>
      <c r="F239" s="34" t="s">
        <v>74</v>
      </c>
      <c r="G239" s="35" t="s">
        <v>65</v>
      </c>
      <c r="H239" s="34" t="s">
        <v>75</v>
      </c>
      <c r="I239" s="36"/>
    </row>
    <row r="240" spans="2:8" ht="12.75">
      <c r="B240" s="37"/>
      <c r="C240" s="38"/>
      <c r="D240" s="38"/>
      <c r="E240" s="22"/>
      <c r="F240" s="22"/>
      <c r="G240" s="22"/>
      <c r="H240" s="39"/>
    </row>
    <row r="241" spans="2:8" s="68" customFormat="1" ht="15.75">
      <c r="B241" s="89">
        <f>VLOOKUP(D241,'Upis rezultata A sektora'!$E$2:$I$13,5,0)</f>
        <v>41</v>
      </c>
      <c r="C241" s="90"/>
      <c r="D241" s="96" t="str">
        <f>IF(ISNONTEXT('Upis rezultata A sektora'!E10)=TRUE,"",'Upis rezultata A sektora'!E10)</f>
        <v>Domagoj Ceković</v>
      </c>
      <c r="E241" s="91"/>
      <c r="F241" s="92">
        <f>IF(ISNUMBER('Prijava ekipa i izvlačenje br.'!B10)=FALSE,"",'Prijava ekipa i izvlačenje br.'!B10)</f>
        <v>5</v>
      </c>
      <c r="G241" s="97" t="str">
        <f>IF((D241)="","","A")</f>
        <v>A</v>
      </c>
      <c r="H241" s="97">
        <f>IF(ISNUMBER('Upis rezultata A sektora'!C10)=FALSE,"",'Upis rezultata A sektora'!C10)</f>
        <v>9</v>
      </c>
    </row>
    <row r="242" spans="2:8" ht="12.75">
      <c r="B242" s="40"/>
      <c r="C242" s="29"/>
      <c r="D242" s="29"/>
      <c r="E242" s="25"/>
      <c r="F242" s="25"/>
      <c r="G242" s="25"/>
      <c r="H242" s="25"/>
    </row>
    <row r="244" spans="1:9" ht="12.75">
      <c r="A244" s="36"/>
      <c r="B244" s="41"/>
      <c r="C244" s="42" t="s">
        <v>76</v>
      </c>
      <c r="D244" s="43"/>
      <c r="E244" s="44" t="s">
        <v>77</v>
      </c>
      <c r="F244" s="43"/>
      <c r="G244" s="44" t="s">
        <v>78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79</v>
      </c>
      <c r="C249" s="6" t="str">
        <f>IF(ISNONTEXT('Organizacija natjecanja'!H22)=TRUE,"",'Organizacija natjecanja'!H22)</f>
        <v>Milenko Popović</v>
      </c>
      <c r="F249" s="6" t="s">
        <v>80</v>
      </c>
    </row>
    <row r="250" ht="12.75">
      <c r="B250" s="7"/>
    </row>
    <row r="251" ht="12.75">
      <c r="B251" s="7"/>
    </row>
    <row r="252" ht="12.75">
      <c r="B252" s="7"/>
    </row>
    <row r="253" ht="12.75">
      <c r="B253" s="7"/>
    </row>
    <row r="254" ht="12.75">
      <c r="B254" s="7"/>
    </row>
    <row r="255" ht="12.75">
      <c r="B255" s="7"/>
    </row>
    <row r="256" spans="2:3" ht="15">
      <c r="B256" s="31"/>
      <c r="C256" s="31" t="s">
        <v>70</v>
      </c>
    </row>
    <row r="257" ht="12.75">
      <c r="G257" s="18" t="str">
        <f>IF(ISNONTEXT('Organizacija natjecanja'!H5)=TRUE,"",'Organizacija natjecanja'!H5)</f>
        <v>Lipik, 28.04.2009.g.</v>
      </c>
    </row>
    <row r="258" ht="12.75">
      <c r="G258" s="19" t="s">
        <v>71</v>
      </c>
    </row>
    <row r="260" spans="4:8" ht="18">
      <c r="D260" s="32"/>
      <c r="E260" s="32" t="s">
        <v>72</v>
      </c>
      <c r="F260" s="32"/>
      <c r="G260" s="32"/>
      <c r="H260" s="32"/>
    </row>
    <row r="262" spans="5:8" ht="15">
      <c r="E262" s="20" t="str">
        <f>IF(ISNONTEXT('Organizacija natjecanja'!H2)=TRUE,"",'Organizacija natjecanja'!H2)</f>
        <v>KUP "BLJESAK"</v>
      </c>
      <c r="H262" s="21"/>
    </row>
    <row r="263" spans="4:8" ht="12.75">
      <c r="D263" s="7"/>
      <c r="E263" s="19" t="s">
        <v>73</v>
      </c>
      <c r="F263" s="7"/>
      <c r="G263" s="7"/>
      <c r="H263" s="7"/>
    </row>
    <row r="264" ht="12.75">
      <c r="D264" s="33"/>
    </row>
    <row r="265" spans="2:5" ht="15">
      <c r="B265" s="6" t="s">
        <v>61</v>
      </c>
      <c r="E265" s="20" t="str">
        <f>IF(ISNONTEXT('Upis rezultata A sektora'!D11)=TRUE,"",'Upis rezultata A sektora'!D11)</f>
        <v>TPK Zagreb</v>
      </c>
    </row>
    <row r="266" ht="12.75">
      <c r="E266" s="18"/>
    </row>
    <row r="267" spans="2:5" ht="12.75">
      <c r="B267" s="6" t="s">
        <v>62</v>
      </c>
      <c r="E267" s="18" t="str">
        <f>IF(ISNONTEXT('Organizacija natjecanja'!H9)=TRUE,"",'Organizacija natjecanja'!H9)</f>
        <v>SENIORI</v>
      </c>
    </row>
    <row r="269" spans="1:9" ht="12.75">
      <c r="A269" s="36"/>
      <c r="B269" s="34" t="s">
        <v>81</v>
      </c>
      <c r="C269" s="34"/>
      <c r="D269" s="35" t="s">
        <v>64</v>
      </c>
      <c r="E269" s="34"/>
      <c r="F269" s="34" t="s">
        <v>74</v>
      </c>
      <c r="G269" s="35" t="s">
        <v>65</v>
      </c>
      <c r="H269" s="34" t="s">
        <v>75</v>
      </c>
      <c r="I269" s="36"/>
    </row>
    <row r="270" spans="2:8" ht="12.75">
      <c r="B270" s="37"/>
      <c r="C270" s="38"/>
      <c r="D270" s="38"/>
      <c r="E270" s="22"/>
      <c r="F270" s="22"/>
      <c r="G270" s="22"/>
      <c r="H270" s="39"/>
    </row>
    <row r="271" spans="2:8" s="68" customFormat="1" ht="15.75">
      <c r="B271" s="89">
        <f>VLOOKUP(D271,'Upis rezultata A sektora'!$E$2:$I$13,5,0)</f>
        <v>46</v>
      </c>
      <c r="C271" s="90"/>
      <c r="D271" s="96" t="str">
        <f>IF(ISNONTEXT('Upis rezultata A sektora'!E11)=TRUE,"",'Upis rezultata A sektora'!E11)</f>
        <v>Dalibor Agbaba</v>
      </c>
      <c r="E271" s="91"/>
      <c r="F271" s="92">
        <f>IF(ISNUMBER('Prijava ekipa i izvlačenje br.'!B11)=FALSE,"",'Prijava ekipa i izvlačenje br.'!B11)</f>
        <v>1</v>
      </c>
      <c r="G271" s="97" t="str">
        <f>IF((D271)="","","A")</f>
        <v>A</v>
      </c>
      <c r="H271" s="97">
        <f>IF(ISNUMBER('Upis rezultata A sektora'!C11)=FALSE,"",'Upis rezultata A sektora'!C11)</f>
        <v>10</v>
      </c>
    </row>
    <row r="272" spans="2:8" ht="12.75">
      <c r="B272" s="40"/>
      <c r="C272" s="29"/>
      <c r="D272" s="29"/>
      <c r="E272" s="25"/>
      <c r="F272" s="25"/>
      <c r="G272" s="25"/>
      <c r="H272" s="25"/>
    </row>
    <row r="274" spans="1:9" ht="12.75">
      <c r="A274" s="36"/>
      <c r="B274" s="41"/>
      <c r="C274" s="42" t="s">
        <v>76</v>
      </c>
      <c r="D274" s="43"/>
      <c r="E274" s="44" t="s">
        <v>77</v>
      </c>
      <c r="F274" s="43"/>
      <c r="G274" s="44" t="s">
        <v>78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79</v>
      </c>
      <c r="C279" s="6" t="str">
        <f>IF(ISNONTEXT('Organizacija natjecanja'!H22)=TRUE,"",'Organizacija natjecanja'!H22)</f>
        <v>Milenko Popović</v>
      </c>
      <c r="F279" s="6" t="s">
        <v>80</v>
      </c>
    </row>
    <row r="280" ht="12.75">
      <c r="B280" s="7"/>
    </row>
    <row r="281" ht="12.75">
      <c r="B281" s="7"/>
    </row>
    <row r="282" spans="2:3" ht="15">
      <c r="B282" s="31"/>
      <c r="C282" s="31" t="s">
        <v>70</v>
      </c>
    </row>
    <row r="283" ht="12.75">
      <c r="G283" s="18" t="str">
        <f>IF(ISNONTEXT('Organizacija natjecanja'!H5)=TRUE,"",'Organizacija natjecanja'!H5)</f>
        <v>Lipik, 28.04.2009.g.</v>
      </c>
    </row>
    <row r="284" ht="12.75">
      <c r="G284" s="19" t="s">
        <v>71</v>
      </c>
    </row>
    <row r="286" spans="4:8" ht="18">
      <c r="D286" s="32"/>
      <c r="E286" s="32" t="s">
        <v>72</v>
      </c>
      <c r="F286" s="32"/>
      <c r="G286" s="32"/>
      <c r="H286" s="32"/>
    </row>
    <row r="288" spans="5:8" ht="15">
      <c r="E288" s="20" t="str">
        <f>IF(ISNONTEXT('Organizacija natjecanja'!H2)=TRUE,"",'Organizacija natjecanja'!H2)</f>
        <v>KUP "BLJESAK"</v>
      </c>
      <c r="H288" s="21"/>
    </row>
    <row r="289" spans="4:8" ht="12.75">
      <c r="D289" s="7"/>
      <c r="E289" s="19" t="s">
        <v>73</v>
      </c>
      <c r="F289" s="7"/>
      <c r="G289" s="7"/>
      <c r="H289" s="7"/>
    </row>
    <row r="290" ht="12.75">
      <c r="D290" s="33"/>
    </row>
    <row r="291" spans="2:5" ht="15">
      <c r="B291" s="6" t="s">
        <v>69</v>
      </c>
      <c r="E291" s="20" t="str">
        <f>IF(ISNONTEXT('Upis rezultata A sektora'!D12)=TRUE,"",'Upis rezultata A sektora'!D12)</f>
        <v>Ilova Garešnica</v>
      </c>
    </row>
    <row r="292" ht="12.75">
      <c r="E292" s="18"/>
    </row>
    <row r="293" spans="2:5" ht="12.75">
      <c r="B293" s="6" t="s">
        <v>62</v>
      </c>
      <c r="E293" s="18" t="str">
        <f>IF(ISNONTEXT('Organizacija natjecanja'!H9)=TRUE,"",'Organizacija natjecanja'!H9)</f>
        <v>SENIORI</v>
      </c>
    </row>
    <row r="295" spans="1:9" ht="12.75">
      <c r="A295" s="36"/>
      <c r="B295" s="34" t="s">
        <v>63</v>
      </c>
      <c r="C295" s="34"/>
      <c r="D295" s="35" t="s">
        <v>64</v>
      </c>
      <c r="E295" s="34"/>
      <c r="F295" s="34" t="s">
        <v>74</v>
      </c>
      <c r="G295" s="35" t="s">
        <v>65</v>
      </c>
      <c r="H295" s="34" t="s">
        <v>75</v>
      </c>
      <c r="I295" s="36"/>
    </row>
    <row r="296" spans="2:8" ht="12.75">
      <c r="B296" s="37"/>
      <c r="C296" s="38"/>
      <c r="D296" s="38"/>
      <c r="E296" s="22"/>
      <c r="F296" s="22"/>
      <c r="G296" s="22"/>
      <c r="H296" s="39"/>
    </row>
    <row r="297" spans="2:8" s="68" customFormat="1" ht="15.75">
      <c r="B297" s="89">
        <f>VLOOKUP(D297,'Upis rezultata A sektora'!$E$2:$I$13,5,0)</f>
        <v>51</v>
      </c>
      <c r="C297" s="90"/>
      <c r="D297" s="96" t="str">
        <f>IF(ISNONTEXT('Upis rezultata A sektora'!E12)=TRUE,"",'Upis rezultata A sektora'!E12)</f>
        <v>Zlatko Šapina</v>
      </c>
      <c r="E297" s="91"/>
      <c r="F297" s="92">
        <f>IF(ISNUMBER('Prijava ekipa i izvlačenje br.'!B12)=FALSE,"",'Prijava ekipa i izvlačenje br.'!B12)</f>
        <v>8</v>
      </c>
      <c r="G297" s="97" t="str">
        <f>IF((D297)="","","A")</f>
        <v>A</v>
      </c>
      <c r="H297" s="97">
        <f>IF(ISNUMBER('Upis rezultata A sektora'!C12)=FALSE,"",'Upis rezultata A sektora'!C12)</f>
        <v>11</v>
      </c>
    </row>
    <row r="298" spans="2:8" ht="12.75">
      <c r="B298" s="40"/>
      <c r="C298" s="29"/>
      <c r="D298" s="29"/>
      <c r="E298" s="25"/>
      <c r="F298" s="25"/>
      <c r="G298" s="25"/>
      <c r="H298" s="25"/>
    </row>
    <row r="300" spans="1:9" ht="12.75">
      <c r="A300" s="36"/>
      <c r="B300" s="41"/>
      <c r="C300" s="42" t="s">
        <v>76</v>
      </c>
      <c r="D300" s="43"/>
      <c r="E300" s="44" t="s">
        <v>77</v>
      </c>
      <c r="F300" s="43"/>
      <c r="G300" s="44" t="s">
        <v>78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79</v>
      </c>
      <c r="C305" s="6" t="str">
        <f>IF(ISNONTEXT('Organizacija natjecanja'!H22)=TRUE,"",'Organizacija natjecanja'!H22)</f>
        <v>Milenko Popović</v>
      </c>
      <c r="F305" s="6" t="s">
        <v>80</v>
      </c>
    </row>
    <row r="306" ht="12.75">
      <c r="B306" s="7"/>
    </row>
    <row r="307" ht="12.75">
      <c r="B307" s="7"/>
    </row>
    <row r="308" ht="12.75">
      <c r="B308" s="7"/>
    </row>
    <row r="309" spans="1:9" ht="12.75">
      <c r="A309" s="30"/>
      <c r="B309" s="46"/>
      <c r="C309" s="30"/>
      <c r="D309" s="30"/>
      <c r="E309" s="30"/>
      <c r="F309" s="30"/>
      <c r="G309" s="30"/>
      <c r="H309" s="30"/>
      <c r="I309" s="30"/>
    </row>
    <row r="310" spans="1:9" ht="12.75">
      <c r="A310" s="30"/>
      <c r="B310" s="46"/>
      <c r="C310" s="30"/>
      <c r="D310" s="30"/>
      <c r="E310" s="30"/>
      <c r="F310" s="30"/>
      <c r="G310" s="30"/>
      <c r="H310" s="30"/>
      <c r="I310" s="30"/>
    </row>
    <row r="312" spans="2:3" ht="15">
      <c r="B312" s="31"/>
      <c r="C312" s="31" t="s">
        <v>70</v>
      </c>
    </row>
    <row r="313" ht="12.75">
      <c r="G313" s="18" t="str">
        <f>IF(ISNONTEXT('Organizacija natjecanja'!H5)=TRUE,"",'Organizacija natjecanja'!H5)</f>
        <v>Lipik, 28.04.2009.g.</v>
      </c>
    </row>
    <row r="314" ht="12.75">
      <c r="G314" s="19" t="s">
        <v>71</v>
      </c>
    </row>
    <row r="316" spans="4:8" ht="18">
      <c r="D316" s="32"/>
      <c r="E316" s="32" t="s">
        <v>72</v>
      </c>
      <c r="F316" s="32"/>
      <c r="G316" s="32"/>
      <c r="H316" s="32"/>
    </row>
    <row r="318" spans="5:8" ht="15">
      <c r="E318" s="20" t="str">
        <f>IF(ISNONTEXT('Organizacija natjecanja'!H2)=TRUE,"",'Organizacija natjecanja'!H2)</f>
        <v>KUP "BLJESAK"</v>
      </c>
      <c r="H318" s="21"/>
    </row>
    <row r="319" spans="4:8" ht="12.75">
      <c r="D319" s="7"/>
      <c r="E319" s="19" t="s">
        <v>73</v>
      </c>
      <c r="F319" s="7"/>
      <c r="G319" s="7"/>
      <c r="H319" s="7"/>
    </row>
    <row r="320" ht="12.75">
      <c r="D320" s="33"/>
    </row>
    <row r="321" spans="2:5" ht="15">
      <c r="B321" s="6" t="s">
        <v>61</v>
      </c>
      <c r="E321" s="20" t="str">
        <f>IF(ISNONTEXT('Upis rezultata A sektora'!D13)=TRUE,"",'Upis rezultata A sektora'!D13)</f>
        <v>Jez Jasenovac</v>
      </c>
    </row>
    <row r="322" ht="12.75">
      <c r="E322" s="18"/>
    </row>
    <row r="323" spans="2:5" ht="12.75">
      <c r="B323" s="6" t="s">
        <v>62</v>
      </c>
      <c r="E323" s="18" t="str">
        <f>IF(ISNONTEXT('Organizacija natjecanja'!H9)=TRUE,"",'Organizacija natjecanja'!H9)</f>
        <v>SENIORI</v>
      </c>
    </row>
    <row r="325" spans="1:9" ht="12.75">
      <c r="A325" s="36"/>
      <c r="B325" s="34" t="s">
        <v>81</v>
      </c>
      <c r="C325" s="34"/>
      <c r="D325" s="35" t="s">
        <v>64</v>
      </c>
      <c r="E325" s="34"/>
      <c r="F325" s="34" t="s">
        <v>74</v>
      </c>
      <c r="G325" s="35" t="s">
        <v>65</v>
      </c>
      <c r="H325" s="34" t="s">
        <v>75</v>
      </c>
      <c r="I325" s="36"/>
    </row>
    <row r="326" spans="2:8" ht="12.75">
      <c r="B326" s="37"/>
      <c r="C326" s="38"/>
      <c r="D326" s="38"/>
      <c r="E326" s="22"/>
      <c r="F326" s="22"/>
      <c r="G326" s="22"/>
      <c r="H326" s="39"/>
    </row>
    <row r="327" spans="2:8" s="68" customFormat="1" ht="15.75">
      <c r="B327" s="89">
        <f>VLOOKUP(D327,'Upis rezultata A sektora'!$E$2:$I$13,5,0)</f>
        <v>56</v>
      </c>
      <c r="C327" s="90"/>
      <c r="D327" s="96" t="str">
        <f>IF(ISNONTEXT('Upis rezultata A sektora'!E13)=TRUE,"",'Upis rezultata A sektora'!E13)</f>
        <v>Mladen Meseš</v>
      </c>
      <c r="E327" s="91"/>
      <c r="F327" s="92">
        <f>IF(ISNUMBER('Prijava ekipa i izvlačenje br.'!B13)=FALSE,"",'Prijava ekipa i izvlačenje br.'!B13)</f>
        <v>12</v>
      </c>
      <c r="G327" s="97" t="str">
        <f>IF((D327)="","","A")</f>
        <v>A</v>
      </c>
      <c r="H327" s="97">
        <f>IF(ISNUMBER('Upis rezultata A sektora'!C13)=FALSE,"",'Upis rezultata A sektora'!C13)</f>
        <v>12</v>
      </c>
    </row>
    <row r="328" spans="2:8" ht="12.75">
      <c r="B328" s="40"/>
      <c r="C328" s="29"/>
      <c r="D328" s="29"/>
      <c r="E328" s="25"/>
      <c r="F328" s="25"/>
      <c r="G328" s="25"/>
      <c r="H328" s="25"/>
    </row>
    <row r="330" spans="1:9" ht="12.75">
      <c r="A330" s="36"/>
      <c r="B330" s="41"/>
      <c r="C330" s="42" t="s">
        <v>76</v>
      </c>
      <c r="D330" s="43"/>
      <c r="E330" s="44" t="s">
        <v>77</v>
      </c>
      <c r="F330" s="43"/>
      <c r="G330" s="44" t="s">
        <v>78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79</v>
      </c>
      <c r="C335" s="6" t="str">
        <f>IF(ISNONTEXT('Organizacija natjecanja'!H22)=TRUE,"",'Organizacija natjecanja'!H22)</f>
        <v>Milenko Popović</v>
      </c>
      <c r="F335" s="6" t="s">
        <v>80</v>
      </c>
    </row>
    <row r="336" ht="12.75">
      <c r="B336" s="7"/>
    </row>
  </sheetData>
  <sheetProtection password="C7E2" sheet="1" objects="1" scenarios="1"/>
  <printOptions/>
  <pageMargins left="0.7874015748031497" right="0.7874015748031497" top="0.78" bottom="0.7874015748031497" header="0.7086614173228347" footer="0.5511811023622047"/>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6.xml><?xml version="1.0" encoding="utf-8"?>
<worksheet xmlns="http://schemas.openxmlformats.org/spreadsheetml/2006/main" xmlns:r="http://schemas.openxmlformats.org/officeDocument/2006/relationships">
  <sheetPr codeName="Sheet6">
    <tabColor indexed="11"/>
  </sheetPr>
  <dimension ref="A2:I336"/>
  <sheetViews>
    <sheetView showGridLines="0" showRowColHeaders="0" zoomScalePageLayoutView="0" workbookViewId="0" topLeftCell="A1">
      <selection activeCell="J9" sqref="J9"/>
    </sheetView>
  </sheetViews>
  <sheetFormatPr defaultColWidth="9.140625" defaultRowHeight="12.75"/>
  <cols>
    <col min="1" max="16384" width="9.140625" style="6" customWidth="1"/>
  </cols>
  <sheetData>
    <row r="2" spans="2:8" ht="15">
      <c r="B2" s="31"/>
      <c r="C2" s="31" t="s">
        <v>70</v>
      </c>
      <c r="H2" s="8"/>
    </row>
    <row r="3" ht="12.75">
      <c r="G3" s="18" t="str">
        <f>IF(ISNONTEXT('Organizacija natjecanja'!H5)=TRUE,"",'Organizacija natjecanja'!H5)</f>
        <v>Lipik, 28.04.2009.g.</v>
      </c>
    </row>
    <row r="4" ht="12.75">
      <c r="G4" s="19" t="s">
        <v>71</v>
      </c>
    </row>
    <row r="5" ht="12.75">
      <c r="H5" s="8"/>
    </row>
    <row r="6" spans="4:8" ht="18">
      <c r="D6" s="32"/>
      <c r="E6" s="32" t="s">
        <v>72</v>
      </c>
      <c r="F6" s="32"/>
      <c r="G6" s="32"/>
      <c r="H6" s="32"/>
    </row>
    <row r="8" spans="5:8" ht="15">
      <c r="E8" s="20" t="str">
        <f>IF(ISNONTEXT('Organizacija natjecanja'!H2)=TRUE,"",'Organizacija natjecanja'!H2)</f>
        <v>KUP "BLJESAK"</v>
      </c>
      <c r="H8" s="21"/>
    </row>
    <row r="9" spans="4:8" ht="12.75">
      <c r="D9" s="7"/>
      <c r="E9" s="19" t="s">
        <v>73</v>
      </c>
      <c r="F9" s="7"/>
      <c r="G9" s="7"/>
      <c r="H9" s="7"/>
    </row>
    <row r="10" ht="12.75">
      <c r="D10" s="33"/>
    </row>
    <row r="11" spans="2:5" ht="15">
      <c r="B11" s="6" t="s">
        <v>69</v>
      </c>
      <c r="E11" s="20" t="str">
        <f>IF(ISNONTEXT('Upis rezultata B sektora'!D2)=TRUE,"",'Upis rezultata B sektora'!D2)</f>
        <v>Korana Karlovac</v>
      </c>
    </row>
    <row r="12" ht="12.75">
      <c r="E12" s="18"/>
    </row>
    <row r="13" spans="2:5" ht="12.75">
      <c r="B13" s="6" t="s">
        <v>62</v>
      </c>
      <c r="E13" s="18" t="str">
        <f>IF(ISNONTEXT('Organizacija natjecanja'!H9)=TRUE,"",'Organizacija natjecanja'!H9)</f>
        <v>SENIORI</v>
      </c>
    </row>
    <row r="15" spans="2:8" s="36" customFormat="1" ht="12">
      <c r="B15" s="34" t="s">
        <v>63</v>
      </c>
      <c r="C15" s="34"/>
      <c r="D15" s="35" t="s">
        <v>64</v>
      </c>
      <c r="E15" s="34"/>
      <c r="F15" s="34" t="s">
        <v>74</v>
      </c>
      <c r="G15" s="35" t="s">
        <v>65</v>
      </c>
      <c r="H15" s="34" t="s">
        <v>75</v>
      </c>
    </row>
    <row r="16" spans="2:8" ht="12.75">
      <c r="B16" s="37"/>
      <c r="C16" s="38"/>
      <c r="D16" s="38"/>
      <c r="E16" s="22"/>
      <c r="F16" s="22"/>
      <c r="G16" s="22"/>
      <c r="H16" s="39"/>
    </row>
    <row r="17" spans="2:8" s="68" customFormat="1" ht="15.75">
      <c r="B17" s="89">
        <f>VLOOKUP(D17,'Upis rezultata B sektora'!$E$2:$G$13,3,0)</f>
        <v>2</v>
      </c>
      <c r="C17" s="90"/>
      <c r="D17" s="96" t="str">
        <f>IF(ISNONTEXT('Upis rezultata B sektora'!E2)=TRUE,"",'Upis rezultata B sektora'!E2)</f>
        <v>Nenad Viboh</v>
      </c>
      <c r="E17" s="91"/>
      <c r="F17" s="92">
        <f>IF(ISNUMBER('Prijava ekipa i izvlačenje br.'!B2)=FALSE,"",'Prijava ekipa i izvlačenje br.'!B2)</f>
        <v>3</v>
      </c>
      <c r="G17" s="97" t="str">
        <f>IF((D17)="","","B")</f>
        <v>B</v>
      </c>
      <c r="H17" s="97">
        <f>IF(ISNUMBER('Upis rezultata B sektora'!C2)=FALSE,"",'Upis rezultata B sektora'!C2)</f>
        <v>1</v>
      </c>
    </row>
    <row r="18" spans="2:8" ht="12.75">
      <c r="B18" s="40"/>
      <c r="C18" s="29"/>
      <c r="D18" s="29"/>
      <c r="E18" s="25"/>
      <c r="F18" s="25"/>
      <c r="G18" s="25"/>
      <c r="H18" s="25"/>
    </row>
    <row r="20" spans="2:8" s="36" customFormat="1" ht="12">
      <c r="B20" s="41"/>
      <c r="C20" s="42" t="s">
        <v>76</v>
      </c>
      <c r="D20" s="43"/>
      <c r="E20" s="44" t="s">
        <v>77</v>
      </c>
      <c r="F20" s="43"/>
      <c r="G20" s="44" t="s">
        <v>78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79</v>
      </c>
      <c r="C25" s="6" t="str">
        <f>IF(ISNONTEXT('Organizacija natjecanja'!H24)=TRUE,"",'Organizacija natjecanja'!H24)</f>
        <v>Ivica Medner</v>
      </c>
      <c r="F25" s="6" t="s">
        <v>80</v>
      </c>
    </row>
    <row r="26" ht="12.75">
      <c r="B26" s="7"/>
    </row>
    <row r="27" ht="12.75">
      <c r="B27" s="7"/>
    </row>
    <row r="28" ht="12.75">
      <c r="B28" s="7"/>
    </row>
    <row r="29" ht="12.75">
      <c r="B29" s="7"/>
    </row>
    <row r="30" spans="1:9" ht="12.75">
      <c r="A30" s="30"/>
      <c r="B30" s="46"/>
      <c r="C30" s="30"/>
      <c r="D30" s="30"/>
      <c r="E30" s="30"/>
      <c r="F30" s="30"/>
      <c r="G30" s="30"/>
      <c r="H30" s="30"/>
      <c r="I30" s="30"/>
    </row>
    <row r="32" spans="2:3" ht="15">
      <c r="B32" s="31"/>
      <c r="C32" s="31" t="s">
        <v>70</v>
      </c>
    </row>
    <row r="33" ht="12.75">
      <c r="G33" s="18" t="str">
        <f>IF(ISNONTEXT('Organizacija natjecanja'!H5)=TRUE,"",'Organizacija natjecanja'!H5)</f>
        <v>Lipik, 28.04.2009.g.</v>
      </c>
    </row>
    <row r="34" ht="12.75">
      <c r="G34" s="19" t="s">
        <v>71</v>
      </c>
    </row>
    <row r="36" spans="4:8" ht="18">
      <c r="D36" s="32"/>
      <c r="E36" s="32" t="s">
        <v>72</v>
      </c>
      <c r="F36" s="32"/>
      <c r="G36" s="32"/>
      <c r="H36" s="32"/>
    </row>
    <row r="38" spans="5:8" ht="15">
      <c r="E38" s="20" t="str">
        <f>IF(ISNONTEXT('Organizacija natjecanja'!H2)=TRUE,"",'Organizacija natjecanja'!H2)</f>
        <v>KUP "BLJESAK"</v>
      </c>
      <c r="H38" s="21"/>
    </row>
    <row r="39" spans="4:8" ht="12.75">
      <c r="D39" s="7"/>
      <c r="E39" s="19" t="s">
        <v>73</v>
      </c>
      <c r="F39" s="7"/>
      <c r="G39" s="7"/>
      <c r="H39" s="7"/>
    </row>
    <row r="40" ht="12.75">
      <c r="D40" s="33"/>
    </row>
    <row r="41" spans="2:5" ht="15">
      <c r="B41" s="6" t="s">
        <v>61</v>
      </c>
      <c r="E41" s="20" t="str">
        <f>IF(ISNONTEXT('Upis rezultata B sektora'!D3)=TRUE,"",'Upis rezultata B sektora'!D3)</f>
        <v>Štuka Torčec</v>
      </c>
    </row>
    <row r="42" ht="12.75">
      <c r="E42" s="18"/>
    </row>
    <row r="43" spans="2:5" ht="12.75">
      <c r="B43" s="6" t="s">
        <v>62</v>
      </c>
      <c r="E43" s="18" t="str">
        <f>IF(ISNONTEXT('Organizacija natjecanja'!H9)=TRUE,"",'Organizacija natjecanja'!H9)</f>
        <v>SENIORI</v>
      </c>
    </row>
    <row r="45" spans="2:8" s="36" customFormat="1" ht="12">
      <c r="B45" s="34" t="s">
        <v>81</v>
      </c>
      <c r="C45" s="34"/>
      <c r="D45" s="35" t="s">
        <v>64</v>
      </c>
      <c r="E45" s="34"/>
      <c r="F45" s="34" t="s">
        <v>74</v>
      </c>
      <c r="G45" s="35" t="s">
        <v>65</v>
      </c>
      <c r="H45" s="34" t="s">
        <v>75</v>
      </c>
    </row>
    <row r="46" spans="2:8" ht="12.75">
      <c r="B46" s="37"/>
      <c r="C46" s="38"/>
      <c r="D46" s="38"/>
      <c r="E46" s="22"/>
      <c r="F46" s="22"/>
      <c r="G46" s="22"/>
      <c r="H46" s="39"/>
    </row>
    <row r="47" spans="2:8" s="68" customFormat="1" ht="15.75">
      <c r="B47" s="89">
        <f>VLOOKUP(D47,'Upis rezultata B sektora'!$E$2:$G$13,3,0)</f>
        <v>7</v>
      </c>
      <c r="C47" s="90"/>
      <c r="D47" s="96" t="str">
        <f>IF(ISNONTEXT('Upis rezultata B sektora'!E3)=TRUE,"",'Upis rezultata B sektora'!E3)</f>
        <v>Goran Matijašić</v>
      </c>
      <c r="E47" s="91"/>
      <c r="F47" s="92">
        <f>IF(ISNUMBER('Prijava ekipa i izvlačenje br.'!B3)=FALSE,"",'Prijava ekipa i izvlačenje br.'!B3)</f>
        <v>7</v>
      </c>
      <c r="G47" s="97" t="str">
        <f>IF((D47)="","","B")</f>
        <v>B</v>
      </c>
      <c r="H47" s="97">
        <f>IF(ISNUMBER('Upis rezultata B sektora'!C3)=FALSE,"",'Upis rezultata B sektora'!C3)</f>
        <v>2</v>
      </c>
    </row>
    <row r="48" spans="2:8" ht="12.75">
      <c r="B48" s="40"/>
      <c r="C48" s="29"/>
      <c r="D48" s="29"/>
      <c r="E48" s="25"/>
      <c r="F48" s="25"/>
      <c r="G48" s="25"/>
      <c r="H48" s="25"/>
    </row>
    <row r="50" spans="2:8" s="36" customFormat="1" ht="12">
      <c r="B50" s="41"/>
      <c r="C50" s="42" t="s">
        <v>76</v>
      </c>
      <c r="D50" s="43"/>
      <c r="E50" s="44" t="s">
        <v>77</v>
      </c>
      <c r="F50" s="43"/>
      <c r="G50" s="44" t="s">
        <v>78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79</v>
      </c>
      <c r="C55" s="6" t="str">
        <f>IF(ISNONTEXT('Organizacija natjecanja'!H24)=TRUE,"",'Organizacija natjecanja'!H24)</f>
        <v>Ivica Medner</v>
      </c>
      <c r="F55" s="6" t="s">
        <v>80</v>
      </c>
    </row>
    <row r="56" ht="12.75">
      <c r="B56" s="7"/>
    </row>
    <row r="57" ht="12.75">
      <c r="B57" s="7"/>
    </row>
    <row r="58" spans="2:3" ht="15">
      <c r="B58" s="31"/>
      <c r="C58" s="31" t="s">
        <v>70</v>
      </c>
    </row>
    <row r="59" ht="12.75">
      <c r="G59" s="18" t="str">
        <f>IF(ISNONTEXT('Organizacija natjecanja'!H5)=TRUE,"",'Organizacija natjecanja'!H5)</f>
        <v>Lipik, 28.04.2009.g.</v>
      </c>
    </row>
    <row r="60" ht="12.75">
      <c r="G60" s="19" t="s">
        <v>71</v>
      </c>
    </row>
    <row r="62" spans="4:8" ht="18">
      <c r="D62" s="32"/>
      <c r="E62" s="32" t="s">
        <v>72</v>
      </c>
      <c r="F62" s="32"/>
      <c r="G62" s="32"/>
      <c r="H62" s="32"/>
    </row>
    <row r="64" spans="5:8" ht="15">
      <c r="E64" s="20" t="str">
        <f>IF(ISNONTEXT('Organizacija natjecanja'!H2)=TRUE,"",'Organizacija natjecanja'!H2)</f>
        <v>KUP "BLJESAK"</v>
      </c>
      <c r="H64" s="21"/>
    </row>
    <row r="65" spans="4:8" ht="12.75">
      <c r="D65" s="7"/>
      <c r="E65" s="19" t="s">
        <v>73</v>
      </c>
      <c r="F65" s="7"/>
      <c r="G65" s="7"/>
      <c r="H65" s="7"/>
    </row>
    <row r="66" ht="12.75">
      <c r="D66" s="33"/>
    </row>
    <row r="67" spans="2:5" ht="15">
      <c r="B67" s="6" t="s">
        <v>69</v>
      </c>
      <c r="E67" s="20" t="str">
        <f>IF(ISNONTEXT('Upis rezultata B sektora'!D4)=TRUE,"",'Upis rezultata B sektora'!D4)</f>
        <v>Rak Rakitje</v>
      </c>
    </row>
    <row r="68" ht="12.75">
      <c r="E68" s="18"/>
    </row>
    <row r="69" spans="2:5" ht="12.75">
      <c r="B69" s="6" t="s">
        <v>62</v>
      </c>
      <c r="E69" s="18" t="str">
        <f>IF(ISNONTEXT('Organizacija natjecanja'!H9)=TRUE,"",'Organizacija natjecanja'!H9)</f>
        <v>SENIORI</v>
      </c>
    </row>
    <row r="71" spans="1:9" ht="12.75">
      <c r="A71" s="36"/>
      <c r="B71" s="34" t="s">
        <v>63</v>
      </c>
      <c r="C71" s="34"/>
      <c r="D71" s="35" t="s">
        <v>64</v>
      </c>
      <c r="E71" s="34"/>
      <c r="F71" s="34" t="s">
        <v>74</v>
      </c>
      <c r="G71" s="35" t="s">
        <v>65</v>
      </c>
      <c r="H71" s="34" t="s">
        <v>75</v>
      </c>
      <c r="I71" s="36"/>
    </row>
    <row r="72" spans="2:8" ht="12.75">
      <c r="B72" s="37"/>
      <c r="C72" s="38"/>
      <c r="D72" s="38"/>
      <c r="E72" s="22"/>
      <c r="F72" s="22"/>
      <c r="G72" s="22"/>
      <c r="H72" s="39"/>
    </row>
    <row r="73" spans="2:8" s="68" customFormat="1" ht="15.75">
      <c r="B73" s="89">
        <f>VLOOKUP(D73,'Upis rezultata B sektora'!$E$2:$G$13,3,0)</f>
        <v>12</v>
      </c>
      <c r="C73" s="90"/>
      <c r="D73" s="96" t="str">
        <f>IF(ISNONTEXT('Upis rezultata B sektora'!E4)=TRUE,"",'Upis rezultata B sektora'!E4)</f>
        <v>Martin Vrčković</v>
      </c>
      <c r="E73" s="91"/>
      <c r="F73" s="92">
        <f>IF(ISNUMBER('Prijava ekipa i izvlačenje br.'!B4)=FALSE,"",'Prijava ekipa i izvlačenje br.'!B4)</f>
        <v>9</v>
      </c>
      <c r="G73" s="97" t="str">
        <f>IF((D73)="","","B")</f>
        <v>B</v>
      </c>
      <c r="H73" s="97">
        <f>IF(ISNUMBER('Upis rezultata B sektora'!C4)=FALSE,"",'Upis rezultata B sektora'!C4)</f>
        <v>3</v>
      </c>
    </row>
    <row r="74" spans="2:8" ht="12.75">
      <c r="B74" s="40"/>
      <c r="C74" s="29"/>
      <c r="D74" s="29"/>
      <c r="E74" s="25"/>
      <c r="F74" s="25"/>
      <c r="G74" s="25"/>
      <c r="H74" s="25"/>
    </row>
    <row r="76" spans="1:9" ht="12.75">
      <c r="A76" s="36"/>
      <c r="B76" s="41"/>
      <c r="C76" s="42" t="s">
        <v>76</v>
      </c>
      <c r="D76" s="43"/>
      <c r="E76" s="44" t="s">
        <v>77</v>
      </c>
      <c r="F76" s="43"/>
      <c r="G76" s="44" t="s">
        <v>78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79</v>
      </c>
      <c r="C81" s="6" t="str">
        <f>IF(ISNONTEXT('Organizacija natjecanja'!H24)=TRUE,"",'Organizacija natjecanja'!H24)</f>
        <v>Ivica Medner</v>
      </c>
      <c r="F81" s="6" t="s">
        <v>80</v>
      </c>
    </row>
    <row r="82" ht="12.75">
      <c r="B82" s="7"/>
    </row>
    <row r="83" ht="12.75">
      <c r="B83" s="7"/>
    </row>
    <row r="84" ht="12.75">
      <c r="B84" s="7"/>
    </row>
    <row r="85" ht="12.75">
      <c r="B85" s="7"/>
    </row>
    <row r="86" ht="12.75">
      <c r="B86" s="7"/>
    </row>
    <row r="88" spans="2:3" ht="15">
      <c r="B88" s="31"/>
      <c r="C88" s="31" t="s">
        <v>70</v>
      </c>
    </row>
    <row r="89" ht="12.75">
      <c r="G89" s="18" t="str">
        <f>IF(ISNONTEXT('Organizacija natjecanja'!H5)=TRUE,"",'Organizacija natjecanja'!H5)</f>
        <v>Lipik, 28.04.2009.g.</v>
      </c>
    </row>
    <row r="90" ht="12.75">
      <c r="G90" s="19" t="s">
        <v>71</v>
      </c>
    </row>
    <row r="92" spans="4:8" ht="18">
      <c r="D92" s="32"/>
      <c r="E92" s="32" t="s">
        <v>72</v>
      </c>
      <c r="F92" s="32"/>
      <c r="G92" s="32"/>
      <c r="H92" s="32"/>
    </row>
    <row r="94" spans="5:8" ht="15">
      <c r="E94" s="20" t="str">
        <f>IF(ISNONTEXT('Organizacija natjecanja'!H2)=TRUE,"",'Organizacija natjecanja'!H2)</f>
        <v>KUP "BLJESAK"</v>
      </c>
      <c r="H94" s="21"/>
    </row>
    <row r="95" spans="4:8" ht="12.75">
      <c r="D95" s="7"/>
      <c r="E95" s="19" t="s">
        <v>73</v>
      </c>
      <c r="F95" s="7"/>
      <c r="G95" s="7"/>
      <c r="H95" s="7"/>
    </row>
    <row r="96" ht="12.75">
      <c r="D96" s="33"/>
    </row>
    <row r="97" spans="2:5" ht="15">
      <c r="B97" s="6" t="s">
        <v>61</v>
      </c>
      <c r="E97" s="20" t="str">
        <f>IF(ISNONTEXT('Upis rezultata B sektora'!D5)=TRUE,"",'Upis rezultata B sektora'!D5)</f>
        <v>Bjelovar Bjelovar</v>
      </c>
    </row>
    <row r="98" ht="12.75">
      <c r="E98" s="18"/>
    </row>
    <row r="99" spans="2:5" ht="12.75">
      <c r="B99" s="6" t="s">
        <v>62</v>
      </c>
      <c r="E99" s="18" t="str">
        <f>IF(ISNONTEXT('Organizacija natjecanja'!H9)=TRUE,"",'Organizacija natjecanja'!H9)</f>
        <v>SENIORI</v>
      </c>
    </row>
    <row r="101" spans="1:9" ht="12.75">
      <c r="A101" s="36"/>
      <c r="B101" s="34" t="s">
        <v>81</v>
      </c>
      <c r="C101" s="34"/>
      <c r="D101" s="35" t="s">
        <v>64</v>
      </c>
      <c r="E101" s="34"/>
      <c r="F101" s="34" t="s">
        <v>74</v>
      </c>
      <c r="G101" s="35" t="s">
        <v>65</v>
      </c>
      <c r="H101" s="34" t="s">
        <v>75</v>
      </c>
      <c r="I101" s="36"/>
    </row>
    <row r="102" spans="2:8" ht="12.75">
      <c r="B102" s="37"/>
      <c r="C102" s="38"/>
      <c r="D102" s="38"/>
      <c r="E102" s="22"/>
      <c r="F102" s="22"/>
      <c r="G102" s="22"/>
      <c r="H102" s="39"/>
    </row>
    <row r="103" spans="2:8" s="68" customFormat="1" ht="15.75">
      <c r="B103" s="89">
        <f>VLOOKUP(D103,'Upis rezultata B sektora'!$E$2:$G$13,3,0)</f>
        <v>17</v>
      </c>
      <c r="C103" s="90"/>
      <c r="D103" s="96" t="str">
        <f>IF(ISNONTEXT('Upis rezultata B sektora'!E5)=TRUE,"",'Upis rezultata B sektora'!E5)</f>
        <v>Vladimir Šuker</v>
      </c>
      <c r="E103" s="91"/>
      <c r="F103" s="92">
        <f>IF(ISNUMBER('Prijava ekipa i izvlačenje br.'!B5)=FALSE,"",'Prijava ekipa i izvlačenje br.'!B5)</f>
        <v>11</v>
      </c>
      <c r="G103" s="97" t="str">
        <f>IF((D103)="","","B")</f>
        <v>B</v>
      </c>
      <c r="H103" s="97">
        <f>IF(ISNUMBER('Upis rezultata B sektora'!C5)=FALSE,"",'Upis rezultata B sektora'!C5)</f>
        <v>4</v>
      </c>
    </row>
    <row r="104" spans="2:8" ht="12.75">
      <c r="B104" s="40"/>
      <c r="C104" s="29"/>
      <c r="D104" s="29"/>
      <c r="E104" s="25"/>
      <c r="F104" s="25"/>
      <c r="G104" s="25"/>
      <c r="H104" s="25"/>
    </row>
    <row r="106" spans="1:9" ht="12.75">
      <c r="A106" s="36"/>
      <c r="B106" s="41"/>
      <c r="C106" s="42" t="s">
        <v>76</v>
      </c>
      <c r="D106" s="43"/>
      <c r="E106" s="44" t="s">
        <v>77</v>
      </c>
      <c r="F106" s="43"/>
      <c r="G106" s="44" t="s">
        <v>78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79</v>
      </c>
      <c r="C111" s="6" t="str">
        <f>IF(ISNONTEXT('Organizacija natjecanja'!H24)=TRUE,"",'Organizacija natjecanja'!H24)</f>
        <v>Ivica Medner</v>
      </c>
      <c r="F111" s="6" t="s">
        <v>80</v>
      </c>
    </row>
    <row r="112" ht="12.75">
      <c r="B112" s="7"/>
    </row>
    <row r="113" ht="12.75">
      <c r="B113" s="7"/>
    </row>
    <row r="114" spans="2:3" ht="15">
      <c r="B114" s="31"/>
      <c r="C114" s="31" t="s">
        <v>70</v>
      </c>
    </row>
    <row r="115" ht="12.75">
      <c r="G115" s="18" t="str">
        <f>IF(ISNONTEXT('Organizacija natjecanja'!H5)=TRUE,"",'Organizacija natjecanja'!H5)</f>
        <v>Lipik, 28.04.2009.g.</v>
      </c>
    </row>
    <row r="116" ht="12.75">
      <c r="G116" s="19" t="s">
        <v>71</v>
      </c>
    </row>
    <row r="118" spans="4:8" ht="18">
      <c r="D118" s="32"/>
      <c r="E118" s="32" t="s">
        <v>72</v>
      </c>
      <c r="F118" s="32"/>
      <c r="G118" s="32"/>
      <c r="H118" s="32"/>
    </row>
    <row r="120" spans="5:8" ht="15">
      <c r="E120" s="20" t="str">
        <f>IF(ISNONTEXT('Organizacija natjecanja'!H2)=TRUE,"",'Organizacija natjecanja'!H2)</f>
        <v>KUP "BLJESAK"</v>
      </c>
      <c r="H120" s="21"/>
    </row>
    <row r="121" spans="4:8" ht="12.75">
      <c r="D121" s="7"/>
      <c r="E121" s="19" t="s">
        <v>73</v>
      </c>
      <c r="F121" s="7"/>
      <c r="G121" s="7"/>
      <c r="H121" s="7"/>
    </row>
    <row r="122" ht="12.75">
      <c r="D122" s="33"/>
    </row>
    <row r="123" spans="2:5" ht="15">
      <c r="B123" s="6" t="s">
        <v>69</v>
      </c>
      <c r="E123" s="20" t="str">
        <f>IF(ISNONTEXT('Upis rezultata B sektora'!D6)=TRUE,"",'Upis rezultata B sektora'!D6)</f>
        <v>Varaždin Varaždin</v>
      </c>
    </row>
    <row r="124" ht="12.75">
      <c r="E124" s="18"/>
    </row>
    <row r="125" spans="2:5" ht="12.75">
      <c r="B125" s="6" t="s">
        <v>62</v>
      </c>
      <c r="E125" s="18" t="str">
        <f>IF(ISNONTEXT('Organizacija natjecanja'!H9)=TRUE,"",'Organizacija natjecanja'!H9)</f>
        <v>SENIORI</v>
      </c>
    </row>
    <row r="127" spans="1:9" ht="12.75">
      <c r="A127" s="36"/>
      <c r="B127" s="34" t="s">
        <v>63</v>
      </c>
      <c r="C127" s="34"/>
      <c r="D127" s="35" t="s">
        <v>64</v>
      </c>
      <c r="E127" s="34"/>
      <c r="F127" s="34" t="s">
        <v>74</v>
      </c>
      <c r="G127" s="35" t="s">
        <v>65</v>
      </c>
      <c r="H127" s="34" t="s">
        <v>75</v>
      </c>
      <c r="I127" s="36"/>
    </row>
    <row r="128" spans="2:8" ht="12.75">
      <c r="B128" s="37"/>
      <c r="C128" s="38"/>
      <c r="D128" s="38"/>
      <c r="E128" s="22"/>
      <c r="F128" s="22"/>
      <c r="G128" s="22"/>
      <c r="H128" s="39"/>
    </row>
    <row r="129" spans="2:8" s="68" customFormat="1" ht="15.75">
      <c r="B129" s="89">
        <f>VLOOKUP(D129,'Upis rezultata B sektora'!$E$2:$G$13,3,0)</f>
        <v>22</v>
      </c>
      <c r="C129" s="90"/>
      <c r="D129" s="96" t="str">
        <f>IF(ISNONTEXT('Upis rezultata B sektora'!E6)=TRUE,"",'Upis rezultata B sektora'!E6)</f>
        <v>Tihomir Hunjak</v>
      </c>
      <c r="E129" s="91"/>
      <c r="F129" s="92">
        <f>IF(ISNUMBER('Prijava ekipa i izvlačenje br.'!B6)=FALSE,"",'Prijava ekipa i izvlačenje br.'!B6)</f>
        <v>10</v>
      </c>
      <c r="G129" s="97" t="str">
        <f>IF((D129)="","","B")</f>
        <v>B</v>
      </c>
      <c r="H129" s="97">
        <f>IF(ISNUMBER('Upis rezultata B sektora'!C6)=FALSE,"",'Upis rezultata B sektora'!C6)</f>
        <v>5</v>
      </c>
    </row>
    <row r="130" spans="2:8" ht="12.75">
      <c r="B130" s="40"/>
      <c r="C130" s="29"/>
      <c r="D130" s="29"/>
      <c r="E130" s="25"/>
      <c r="F130" s="25"/>
      <c r="G130" s="25"/>
      <c r="H130" s="25"/>
    </row>
    <row r="132" spans="1:9" ht="12.75">
      <c r="A132" s="36"/>
      <c r="B132" s="41"/>
      <c r="C132" s="42" t="s">
        <v>76</v>
      </c>
      <c r="D132" s="43"/>
      <c r="E132" s="44" t="s">
        <v>77</v>
      </c>
      <c r="F132" s="43"/>
      <c r="G132" s="44" t="s">
        <v>78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79</v>
      </c>
      <c r="C137" s="6" t="str">
        <f>IF(ISNONTEXT('Organizacija natjecanja'!H24)=TRUE,"",'Organizacija natjecanja'!H24)</f>
        <v>Ivica Medner</v>
      </c>
      <c r="F137" s="6" t="s">
        <v>80</v>
      </c>
    </row>
    <row r="138" ht="12.75">
      <c r="B138" s="7"/>
    </row>
    <row r="139" ht="12.75">
      <c r="B139" s="7"/>
    </row>
    <row r="140" ht="12.75">
      <c r="B140" s="7"/>
    </row>
    <row r="141" ht="12.75">
      <c r="B141" s="7"/>
    </row>
    <row r="142" ht="12.75">
      <c r="B142" s="7"/>
    </row>
    <row r="144" spans="2:3" ht="15">
      <c r="B144" s="31"/>
      <c r="C144" s="31" t="s">
        <v>70</v>
      </c>
    </row>
    <row r="145" ht="12.75">
      <c r="G145" s="18" t="str">
        <f>IF(ISNONTEXT('Organizacija natjecanja'!H5)=TRUE,"",'Organizacija natjecanja'!H5)</f>
        <v>Lipik, 28.04.2009.g.</v>
      </c>
    </row>
    <row r="146" ht="12.75">
      <c r="G146" s="19" t="s">
        <v>71</v>
      </c>
    </row>
    <row r="148" spans="4:8" ht="18">
      <c r="D148" s="32"/>
      <c r="E148" s="32" t="s">
        <v>72</v>
      </c>
      <c r="F148" s="32"/>
      <c r="G148" s="32"/>
      <c r="H148" s="32"/>
    </row>
    <row r="150" spans="5:8" ht="15">
      <c r="E150" s="20" t="str">
        <f>IF(ISNONTEXT('Organizacija natjecanja'!H2)=TRUE,"",'Organizacija natjecanja'!H2)</f>
        <v>KUP "BLJESAK"</v>
      </c>
      <c r="H150" s="21"/>
    </row>
    <row r="151" spans="4:8" ht="12.75">
      <c r="D151" s="7"/>
      <c r="E151" s="19" t="s">
        <v>73</v>
      </c>
      <c r="F151" s="7"/>
      <c r="G151" s="7"/>
      <c r="H151" s="7"/>
    </row>
    <row r="152" ht="12.75">
      <c r="D152" s="33"/>
    </row>
    <row r="153" spans="2:5" ht="15">
      <c r="B153" s="6" t="s">
        <v>61</v>
      </c>
      <c r="E153" s="20" t="str">
        <f>IF(ISNONTEXT('Upis rezultata B sektora'!D7)=TRUE,"",'Upis rezultata B sektora'!D7)</f>
        <v>Azzuro Varaždin</v>
      </c>
    </row>
    <row r="154" ht="12.75">
      <c r="E154" s="18"/>
    </row>
    <row r="155" spans="2:5" ht="12.75">
      <c r="B155" s="6" t="s">
        <v>62</v>
      </c>
      <c r="E155" s="18" t="str">
        <f>IF(ISNONTEXT('Organizacija natjecanja'!H9)=TRUE,"",'Organizacija natjecanja'!H9)</f>
        <v>SENIORI</v>
      </c>
    </row>
    <row r="157" spans="1:9" ht="12.75">
      <c r="A157" s="36"/>
      <c r="B157" s="34" t="s">
        <v>81</v>
      </c>
      <c r="C157" s="34"/>
      <c r="D157" s="35" t="s">
        <v>64</v>
      </c>
      <c r="E157" s="34"/>
      <c r="F157" s="34" t="s">
        <v>74</v>
      </c>
      <c r="G157" s="35" t="s">
        <v>65</v>
      </c>
      <c r="H157" s="34" t="s">
        <v>75</v>
      </c>
      <c r="I157" s="36"/>
    </row>
    <row r="158" spans="2:8" ht="12.75">
      <c r="B158" s="37"/>
      <c r="C158" s="38"/>
      <c r="D158" s="38"/>
      <c r="E158" s="22"/>
      <c r="F158" s="22"/>
      <c r="G158" s="22"/>
      <c r="H158" s="39"/>
    </row>
    <row r="159" spans="2:8" s="68" customFormat="1" ht="15.75">
      <c r="B159" s="89">
        <f>VLOOKUP(D159,'Upis rezultata B sektora'!$E$2:$G$13,3,0)</f>
        <v>27</v>
      </c>
      <c r="C159" s="90"/>
      <c r="D159" s="96" t="str">
        <f>IF(ISNONTEXT('Upis rezultata B sektora'!E7)=TRUE,"",'Upis rezultata B sektora'!E7)</f>
        <v>Zlatko Kračun</v>
      </c>
      <c r="E159" s="91"/>
      <c r="F159" s="92">
        <f>IF(ISNUMBER('Prijava ekipa i izvlačenje br.'!B7)=FALSE,"",'Prijava ekipa i izvlačenje br.'!B7)</f>
        <v>4</v>
      </c>
      <c r="G159" s="97" t="str">
        <f>IF((D159)="","","B")</f>
        <v>B</v>
      </c>
      <c r="H159" s="97">
        <f>IF(ISNUMBER('Upis rezultata B sektora'!C7)=FALSE,"",'Upis rezultata B sektora'!C7)</f>
        <v>6</v>
      </c>
    </row>
    <row r="160" spans="2:8" ht="12.75">
      <c r="B160" s="40"/>
      <c r="C160" s="29"/>
      <c r="D160" s="29"/>
      <c r="E160" s="25"/>
      <c r="F160" s="25"/>
      <c r="G160" s="25"/>
      <c r="H160" s="25"/>
    </row>
    <row r="162" spans="1:9" ht="12.75">
      <c r="A162" s="36"/>
      <c r="B162" s="41"/>
      <c r="C162" s="42" t="s">
        <v>76</v>
      </c>
      <c r="D162" s="43"/>
      <c r="E162" s="44" t="s">
        <v>77</v>
      </c>
      <c r="F162" s="43"/>
      <c r="G162" s="44" t="s">
        <v>78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79</v>
      </c>
      <c r="C167" s="6" t="str">
        <f>IF(ISNONTEXT('Organizacija natjecanja'!H24)=TRUE,"",'Organizacija natjecanja'!H24)</f>
        <v>Ivica Medner</v>
      </c>
      <c r="F167" s="6" t="s">
        <v>80</v>
      </c>
    </row>
    <row r="168" ht="12.75">
      <c r="B168" s="7"/>
    </row>
    <row r="169" ht="12.75">
      <c r="B169" s="7"/>
    </row>
    <row r="170" spans="2:3" ht="15">
      <c r="B170" s="31"/>
      <c r="C170" s="31" t="s">
        <v>70</v>
      </c>
    </row>
    <row r="171" ht="12.75">
      <c r="G171" s="18" t="str">
        <f>IF(ISNONTEXT('Organizacija natjecanja'!H5)=TRUE,"",'Organizacija natjecanja'!H5)</f>
        <v>Lipik, 28.04.2009.g.</v>
      </c>
    </row>
    <row r="172" ht="12.75">
      <c r="G172" s="19" t="s">
        <v>71</v>
      </c>
    </row>
    <row r="174" spans="4:8" ht="18">
      <c r="D174" s="32"/>
      <c r="E174" s="32" t="s">
        <v>72</v>
      </c>
      <c r="F174" s="32"/>
      <c r="G174" s="32"/>
      <c r="H174" s="32"/>
    </row>
    <row r="176" spans="5:8" ht="15">
      <c r="E176" s="20" t="str">
        <f>IF(ISNONTEXT('Organizacija natjecanja'!H2)=TRUE,"",'Organizacija natjecanja'!H2)</f>
        <v>KUP "BLJESAK"</v>
      </c>
      <c r="H176" s="21"/>
    </row>
    <row r="177" spans="4:8" ht="12.75">
      <c r="D177" s="7"/>
      <c r="E177" s="19" t="s">
        <v>73</v>
      </c>
      <c r="F177" s="7"/>
      <c r="G177" s="7"/>
      <c r="H177" s="7"/>
    </row>
    <row r="178" ht="12.75">
      <c r="D178" s="33"/>
    </row>
    <row r="179" spans="2:5" ht="15">
      <c r="B179" s="6" t="s">
        <v>69</v>
      </c>
      <c r="E179" s="20" t="str">
        <f>IF(ISNONTEXT('Upis rezultata B sektora'!D8)=TRUE,"",'Upis rezultata B sektora'!D8)</f>
        <v>Trnje-ŠR Zagreb</v>
      </c>
    </row>
    <row r="180" ht="12.75">
      <c r="E180" s="18"/>
    </row>
    <row r="181" spans="2:5" ht="12.75">
      <c r="B181" s="6" t="s">
        <v>62</v>
      </c>
      <c r="E181" s="18" t="str">
        <f>IF(ISNONTEXT('Organizacija natjecanja'!H9)=TRUE,"",'Organizacija natjecanja'!H9)</f>
        <v>SENIORI</v>
      </c>
    </row>
    <row r="183" spans="1:9" ht="12.75">
      <c r="A183" s="36"/>
      <c r="B183" s="34" t="s">
        <v>63</v>
      </c>
      <c r="C183" s="34"/>
      <c r="D183" s="35" t="s">
        <v>64</v>
      </c>
      <c r="E183" s="34"/>
      <c r="F183" s="34" t="s">
        <v>74</v>
      </c>
      <c r="G183" s="35" t="s">
        <v>65</v>
      </c>
      <c r="H183" s="34" t="s">
        <v>75</v>
      </c>
      <c r="I183" s="36"/>
    </row>
    <row r="184" spans="2:8" ht="12.75">
      <c r="B184" s="37"/>
      <c r="C184" s="38"/>
      <c r="D184" s="38"/>
      <c r="E184" s="22"/>
      <c r="F184" s="22"/>
      <c r="G184" s="22"/>
      <c r="H184" s="39"/>
    </row>
    <row r="185" spans="2:8" s="68" customFormat="1" ht="15.75">
      <c r="B185" s="89">
        <f>VLOOKUP(D185,'Upis rezultata B sektora'!$E$2:$G$13,3,0)</f>
        <v>32</v>
      </c>
      <c r="C185" s="90"/>
      <c r="D185" s="96" t="str">
        <f>IF(ISNONTEXT('Upis rezultata B sektora'!E8)=TRUE,"",'Upis rezultata B sektora'!E8)</f>
        <v>Željko Raženj</v>
      </c>
      <c r="E185" s="91"/>
      <c r="F185" s="92">
        <f>IF(ISNUMBER('Prijava ekipa i izvlačenje br.'!B8)=FALSE,"",'Prijava ekipa i izvlačenje br.'!B8)</f>
        <v>2</v>
      </c>
      <c r="G185" s="97" t="str">
        <f>IF((D185)="","","B")</f>
        <v>B</v>
      </c>
      <c r="H185" s="97">
        <f>IF(ISNUMBER('Upis rezultata B sektora'!C8)=FALSE,"",'Upis rezultata B sektora'!C8)</f>
        <v>7</v>
      </c>
    </row>
    <row r="186" spans="2:8" ht="12.75">
      <c r="B186" s="40"/>
      <c r="C186" s="29"/>
      <c r="D186" s="29"/>
      <c r="E186" s="25"/>
      <c r="F186" s="25"/>
      <c r="G186" s="25"/>
      <c r="H186" s="25"/>
    </row>
    <row r="188" spans="1:9" ht="12.75">
      <c r="A188" s="36"/>
      <c r="B188" s="41"/>
      <c r="C188" s="42" t="s">
        <v>76</v>
      </c>
      <c r="D188" s="43"/>
      <c r="E188" s="44" t="s">
        <v>77</v>
      </c>
      <c r="F188" s="43"/>
      <c r="G188" s="44" t="s">
        <v>78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79</v>
      </c>
      <c r="C193" s="6" t="str">
        <f>IF(ISNONTEXT('Organizacija natjecanja'!H24)=TRUE,"",'Organizacija natjecanja'!H24)</f>
        <v>Ivica Medner</v>
      </c>
      <c r="F193" s="6" t="s">
        <v>80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70</v>
      </c>
    </row>
    <row r="201" ht="12.75">
      <c r="G201" s="18" t="str">
        <f>IF(ISNONTEXT('Organizacija natjecanja'!H5)=TRUE,"",'Organizacija natjecanja'!H5)</f>
        <v>Lipik, 28.04.2009.g.</v>
      </c>
    </row>
    <row r="202" ht="12.75">
      <c r="G202" s="19" t="s">
        <v>71</v>
      </c>
    </row>
    <row r="204" spans="4:8" ht="18">
      <c r="D204" s="32"/>
      <c r="E204" s="32" t="s">
        <v>72</v>
      </c>
      <c r="F204" s="32"/>
      <c r="G204" s="32"/>
      <c r="H204" s="32"/>
    </row>
    <row r="206" spans="5:8" ht="15">
      <c r="E206" s="20" t="str">
        <f>IF(ISNONTEXT('Organizacija natjecanja'!H2)=TRUE,"",'Organizacija natjecanja'!H2)</f>
        <v>KUP "BLJESAK"</v>
      </c>
      <c r="H206" s="21"/>
    </row>
    <row r="207" spans="4:8" ht="12.75">
      <c r="D207" s="7"/>
      <c r="E207" s="19" t="s">
        <v>73</v>
      </c>
      <c r="F207" s="7"/>
      <c r="G207" s="7"/>
      <c r="H207" s="7"/>
    </row>
    <row r="208" ht="12.75">
      <c r="D208" s="33"/>
    </row>
    <row r="209" spans="2:5" ht="15">
      <c r="B209" s="6" t="s">
        <v>61</v>
      </c>
      <c r="E209" s="20" t="str">
        <f>IF(ISNONTEXT('Upis rezultata B sektora'!D9)=TRUE,"",'Upis rezultata B sektora'!D9)</f>
        <v>Klen N.Gradiška</v>
      </c>
    </row>
    <row r="210" ht="12.75">
      <c r="E210" s="18"/>
    </row>
    <row r="211" spans="2:5" ht="12.75">
      <c r="B211" s="6" t="s">
        <v>62</v>
      </c>
      <c r="E211" s="18" t="str">
        <f>IF(ISNONTEXT('Organizacija natjecanja'!H9)=TRUE,"",'Organizacija natjecanja'!H9)</f>
        <v>SENIORI</v>
      </c>
    </row>
    <row r="213" spans="1:9" ht="12.75">
      <c r="A213" s="36"/>
      <c r="B213" s="34" t="s">
        <v>81</v>
      </c>
      <c r="C213" s="34"/>
      <c r="D213" s="35" t="s">
        <v>64</v>
      </c>
      <c r="E213" s="34"/>
      <c r="F213" s="34" t="s">
        <v>74</v>
      </c>
      <c r="G213" s="35" t="s">
        <v>65</v>
      </c>
      <c r="H213" s="34" t="s">
        <v>75</v>
      </c>
      <c r="I213" s="36"/>
    </row>
    <row r="214" spans="2:8" ht="12.75">
      <c r="B214" s="37"/>
      <c r="C214" s="38"/>
      <c r="D214" s="38"/>
      <c r="E214" s="22"/>
      <c r="F214" s="22"/>
      <c r="G214" s="22"/>
      <c r="H214" s="39"/>
    </row>
    <row r="215" spans="2:8" s="68" customFormat="1" ht="15.75">
      <c r="B215" s="89">
        <f>VLOOKUP(D215,'Upis rezultata B sektora'!$E$2:$G$13,3,0)</f>
        <v>37</v>
      </c>
      <c r="C215" s="90"/>
      <c r="D215" s="96" t="str">
        <f>IF(ISNONTEXT('Upis rezultata B sektora'!E9)=TRUE,"",'Upis rezultata B sektora'!E9)</f>
        <v>Mario Akmačić</v>
      </c>
      <c r="E215" s="91"/>
      <c r="F215" s="92">
        <f>IF(ISNUMBER('Prijava ekipa i izvlačenje br.'!B9)=FALSE,"",'Prijava ekipa i izvlačenje br.'!B9)</f>
        <v>6</v>
      </c>
      <c r="G215" s="97" t="str">
        <f>IF((D215)="","","B")</f>
        <v>B</v>
      </c>
      <c r="H215" s="97">
        <f>IF(ISNUMBER('Upis rezultata B sektora'!C9)=FALSE,"",'Upis rezultata B sektora'!C9)</f>
        <v>8</v>
      </c>
    </row>
    <row r="216" spans="2:8" ht="12.75">
      <c r="B216" s="40"/>
      <c r="C216" s="29"/>
      <c r="D216" s="29"/>
      <c r="E216" s="25"/>
      <c r="F216" s="25"/>
      <c r="G216" s="25"/>
      <c r="H216" s="25"/>
    </row>
    <row r="218" spans="1:9" ht="12.75">
      <c r="A218" s="36"/>
      <c r="B218" s="41"/>
      <c r="C218" s="42" t="s">
        <v>76</v>
      </c>
      <c r="D218" s="43"/>
      <c r="E218" s="44" t="s">
        <v>77</v>
      </c>
      <c r="F218" s="43"/>
      <c r="G218" s="44" t="s">
        <v>78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79</v>
      </c>
      <c r="C223" s="6" t="str">
        <f>IF(ISNONTEXT('Organizacija natjecanja'!H24)=TRUE,"",'Organizacija natjecanja'!H24)</f>
        <v>Ivica Medner</v>
      </c>
      <c r="F223" s="6" t="s">
        <v>80</v>
      </c>
    </row>
    <row r="224" ht="12.75">
      <c r="B224" s="7"/>
    </row>
    <row r="225" ht="12.75">
      <c r="B225" s="7"/>
    </row>
    <row r="226" spans="2:3" ht="15">
      <c r="B226" s="31"/>
      <c r="C226" s="31" t="s">
        <v>70</v>
      </c>
    </row>
    <row r="227" ht="12.75">
      <c r="G227" s="18" t="str">
        <f>IF(ISNONTEXT('Organizacija natjecanja'!H5)=TRUE,"",'Organizacija natjecanja'!H5)</f>
        <v>Lipik, 28.04.2009.g.</v>
      </c>
    </row>
    <row r="228" ht="12.75">
      <c r="G228" s="19" t="s">
        <v>71</v>
      </c>
    </row>
    <row r="230" spans="4:8" ht="18">
      <c r="D230" s="32"/>
      <c r="E230" s="32" t="s">
        <v>72</v>
      </c>
      <c r="F230" s="32"/>
      <c r="G230" s="32"/>
      <c r="H230" s="32"/>
    </row>
    <row r="232" spans="5:8" ht="15">
      <c r="E232" s="20" t="str">
        <f>IF(ISNONTEXT('Organizacija natjecanja'!H2)=TRUE,"",'Organizacija natjecanja'!H2)</f>
        <v>KUP "BLJESAK"</v>
      </c>
      <c r="H232" s="21"/>
    </row>
    <row r="233" spans="4:8" ht="12.75">
      <c r="D233" s="7"/>
      <c r="E233" s="19" t="s">
        <v>73</v>
      </c>
      <c r="F233" s="7"/>
      <c r="G233" s="7"/>
      <c r="H233" s="7"/>
    </row>
    <row r="234" ht="12.75">
      <c r="D234" s="33"/>
    </row>
    <row r="235" spans="2:5" ht="15">
      <c r="B235" s="6" t="s">
        <v>69</v>
      </c>
      <c r="E235" s="20" t="str">
        <f>IF(ISNONTEXT('Upis rezultata B sektora'!D10)=TRUE,"",'Upis rezultata B sektora'!D10)</f>
        <v>Bjelka GME Sunja</v>
      </c>
    </row>
    <row r="236" ht="12.75">
      <c r="E236" s="18"/>
    </row>
    <row r="237" spans="2:5" ht="12.75">
      <c r="B237" s="6" t="s">
        <v>62</v>
      </c>
      <c r="E237" s="18" t="str">
        <f>IF(ISNONTEXT('Organizacija natjecanja'!H9)=TRUE,"",'Organizacija natjecanja'!H9)</f>
        <v>SENIORI</v>
      </c>
    </row>
    <row r="239" spans="1:9" ht="12.75">
      <c r="A239" s="36"/>
      <c r="B239" s="34" t="s">
        <v>63</v>
      </c>
      <c r="C239" s="34"/>
      <c r="D239" s="35" t="s">
        <v>64</v>
      </c>
      <c r="E239" s="34"/>
      <c r="F239" s="34" t="s">
        <v>74</v>
      </c>
      <c r="G239" s="35" t="s">
        <v>65</v>
      </c>
      <c r="H239" s="34" t="s">
        <v>75</v>
      </c>
      <c r="I239" s="36"/>
    </row>
    <row r="240" spans="2:8" ht="12.75">
      <c r="B240" s="37"/>
      <c r="C240" s="38"/>
      <c r="D240" s="38"/>
      <c r="E240" s="22"/>
      <c r="F240" s="22"/>
      <c r="G240" s="22"/>
      <c r="H240" s="39"/>
    </row>
    <row r="241" spans="2:8" s="68" customFormat="1" ht="15.75">
      <c r="B241" s="89">
        <f>VLOOKUP(D241,'Upis rezultata B sektora'!$E$2:$G$13,3,0)</f>
        <v>42</v>
      </c>
      <c r="C241" s="90"/>
      <c r="D241" s="96" t="str">
        <f>IF(ISNONTEXT('Upis rezultata B sektora'!E10)=TRUE,"",'Upis rezultata B sektora'!E10)</f>
        <v>Smail Habibović</v>
      </c>
      <c r="E241" s="91"/>
      <c r="F241" s="92">
        <f>IF(ISNUMBER('Prijava ekipa i izvlačenje br.'!B10)=FALSE,"",'Prijava ekipa i izvlačenje br.'!B10)</f>
        <v>5</v>
      </c>
      <c r="G241" s="97" t="str">
        <f>IF((D241)="","","B")</f>
        <v>B</v>
      </c>
      <c r="H241" s="97">
        <f>IF(ISNUMBER('Upis rezultata B sektora'!C10)=FALSE,"",'Upis rezultata B sektora'!C10)</f>
        <v>9</v>
      </c>
    </row>
    <row r="242" spans="2:8" ht="12.75">
      <c r="B242" s="40"/>
      <c r="C242" s="29"/>
      <c r="D242" s="29"/>
      <c r="E242" s="25"/>
      <c r="F242" s="25"/>
      <c r="G242" s="25"/>
      <c r="H242" s="25"/>
    </row>
    <row r="244" spans="1:9" ht="12.75">
      <c r="A244" s="36"/>
      <c r="B244" s="41"/>
      <c r="C244" s="42" t="s">
        <v>76</v>
      </c>
      <c r="D244" s="43"/>
      <c r="E244" s="44" t="s">
        <v>77</v>
      </c>
      <c r="F244" s="43"/>
      <c r="G244" s="44" t="s">
        <v>78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79</v>
      </c>
      <c r="C249" s="6" t="str">
        <f>IF(ISNONTEXT('Organizacija natjecanja'!H24)=TRUE,"",'Organizacija natjecanja'!H24)</f>
        <v>Ivica Medner</v>
      </c>
      <c r="F249" s="6" t="s">
        <v>80</v>
      </c>
    </row>
    <row r="250" ht="12.75">
      <c r="B250" s="7"/>
    </row>
    <row r="251" ht="12.75">
      <c r="B251" s="7"/>
    </row>
    <row r="252" ht="12.75">
      <c r="B252" s="7"/>
    </row>
    <row r="253" ht="12.75">
      <c r="B253" s="7"/>
    </row>
    <row r="254" spans="1:9" ht="12.75">
      <c r="A254" s="30"/>
      <c r="B254" s="46"/>
      <c r="C254" s="30"/>
      <c r="D254" s="30"/>
      <c r="E254" s="30"/>
      <c r="F254" s="30"/>
      <c r="G254" s="30"/>
      <c r="H254" s="30"/>
      <c r="I254" s="30"/>
    </row>
    <row r="256" spans="2:3" ht="15">
      <c r="B256" s="31"/>
      <c r="C256" s="31" t="s">
        <v>70</v>
      </c>
    </row>
    <row r="257" ht="12.75">
      <c r="G257" s="18" t="str">
        <f>IF(ISNONTEXT('Organizacija natjecanja'!H5)=TRUE,"",'Organizacija natjecanja'!H5)</f>
        <v>Lipik, 28.04.2009.g.</v>
      </c>
    </row>
    <row r="258" ht="12.75">
      <c r="G258" s="19" t="s">
        <v>71</v>
      </c>
    </row>
    <row r="260" spans="4:8" ht="18">
      <c r="D260" s="32"/>
      <c r="E260" s="32" t="s">
        <v>72</v>
      </c>
      <c r="F260" s="32"/>
      <c r="G260" s="32"/>
      <c r="H260" s="32"/>
    </row>
    <row r="262" spans="5:8" ht="15">
      <c r="E262" s="20" t="str">
        <f>IF(ISNONTEXT('Organizacija natjecanja'!H2)=TRUE,"",'Organizacija natjecanja'!H2)</f>
        <v>KUP "BLJESAK"</v>
      </c>
      <c r="H262" s="21"/>
    </row>
    <row r="263" spans="4:8" ht="12.75">
      <c r="D263" s="7"/>
      <c r="E263" s="19" t="s">
        <v>73</v>
      </c>
      <c r="F263" s="7"/>
      <c r="G263" s="7"/>
      <c r="H263" s="7"/>
    </row>
    <row r="264" ht="12.75">
      <c r="D264" s="33"/>
    </row>
    <row r="265" spans="2:5" ht="15">
      <c r="B265" s="6" t="s">
        <v>61</v>
      </c>
      <c r="E265" s="20" t="str">
        <f>IF(ISNONTEXT('Upis rezultata B sektora'!D11)=TRUE,"",'Upis rezultata B sektora'!D11)</f>
        <v>TPK Zagreb</v>
      </c>
    </row>
    <row r="266" ht="12.75">
      <c r="E266" s="18"/>
    </row>
    <row r="267" spans="2:5" ht="12.75">
      <c r="B267" s="6" t="s">
        <v>62</v>
      </c>
      <c r="E267" s="18" t="str">
        <f>IF(ISNONTEXT('Organizacija natjecanja'!H9)=TRUE,"",'Organizacija natjecanja'!H9)</f>
        <v>SENIORI</v>
      </c>
    </row>
    <row r="269" spans="1:9" ht="12.75">
      <c r="A269" s="36"/>
      <c r="B269" s="34" t="s">
        <v>81</v>
      </c>
      <c r="C269" s="34"/>
      <c r="D269" s="35" t="s">
        <v>64</v>
      </c>
      <c r="E269" s="34"/>
      <c r="F269" s="34" t="s">
        <v>74</v>
      </c>
      <c r="G269" s="35" t="s">
        <v>65</v>
      </c>
      <c r="H269" s="34" t="s">
        <v>75</v>
      </c>
      <c r="I269" s="36"/>
    </row>
    <row r="270" spans="2:8" ht="12.75">
      <c r="B270" s="37"/>
      <c r="C270" s="38"/>
      <c r="D270" s="38"/>
      <c r="E270" s="22"/>
      <c r="F270" s="22"/>
      <c r="G270" s="22"/>
      <c r="H270" s="39"/>
    </row>
    <row r="271" spans="2:8" s="68" customFormat="1" ht="15.75">
      <c r="B271" s="89">
        <f>VLOOKUP(D271,'Upis rezultata B sektora'!$E$2:$G$13,3,0)</f>
        <v>47</v>
      </c>
      <c r="C271" s="90"/>
      <c r="D271" s="96" t="str">
        <f>IF(ISNONTEXT('Upis rezultata B sektora'!E11)=TRUE,"",'Upis rezultata B sektora'!E11)</f>
        <v>Anđelo Orač</v>
      </c>
      <c r="E271" s="91"/>
      <c r="F271" s="92">
        <f>IF(ISNUMBER('Prijava ekipa i izvlačenje br.'!B11)=FALSE,"",'Prijava ekipa i izvlačenje br.'!B11)</f>
        <v>1</v>
      </c>
      <c r="G271" s="97" t="str">
        <f>IF((D271)="","","B")</f>
        <v>B</v>
      </c>
      <c r="H271" s="97">
        <f>IF(ISNUMBER('Upis rezultata B sektora'!C11)=FALSE,"",'Upis rezultata B sektora'!C11)</f>
        <v>10</v>
      </c>
    </row>
    <row r="272" spans="2:8" ht="12.75">
      <c r="B272" s="40"/>
      <c r="C272" s="29"/>
      <c r="D272" s="29"/>
      <c r="E272" s="25"/>
      <c r="F272" s="25"/>
      <c r="G272" s="25"/>
      <c r="H272" s="25"/>
    </row>
    <row r="274" spans="1:9" ht="12.75">
      <c r="A274" s="36"/>
      <c r="B274" s="41"/>
      <c r="C274" s="42" t="s">
        <v>76</v>
      </c>
      <c r="D274" s="43"/>
      <c r="E274" s="44" t="s">
        <v>77</v>
      </c>
      <c r="F274" s="43"/>
      <c r="G274" s="44" t="s">
        <v>78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79</v>
      </c>
      <c r="C279" s="6" t="str">
        <f>IF(ISNONTEXT('Organizacija natjecanja'!H24)=TRUE,"",'Organizacija natjecanja'!H24)</f>
        <v>Ivica Medner</v>
      </c>
      <c r="F279" s="6" t="s">
        <v>80</v>
      </c>
    </row>
    <row r="280" ht="12.75">
      <c r="B280" s="7"/>
    </row>
    <row r="281" ht="12.75">
      <c r="B281" s="7"/>
    </row>
    <row r="282" spans="2:3" ht="15">
      <c r="B282" s="31"/>
      <c r="C282" s="31" t="s">
        <v>70</v>
      </c>
    </row>
    <row r="283" ht="12.75">
      <c r="G283" s="18" t="str">
        <f>IF(ISNONTEXT('Organizacija natjecanja'!H5)=TRUE,"",'Organizacija natjecanja'!H5)</f>
        <v>Lipik, 28.04.2009.g.</v>
      </c>
    </row>
    <row r="284" ht="12.75">
      <c r="G284" s="19" t="s">
        <v>71</v>
      </c>
    </row>
    <row r="286" spans="4:8" ht="18">
      <c r="D286" s="32"/>
      <c r="E286" s="32" t="s">
        <v>72</v>
      </c>
      <c r="F286" s="32"/>
      <c r="G286" s="32"/>
      <c r="H286" s="32"/>
    </row>
    <row r="288" spans="5:8" ht="15">
      <c r="E288" s="20" t="str">
        <f>IF(ISNONTEXT('Organizacija natjecanja'!H2)=TRUE,"",'Organizacija natjecanja'!H2)</f>
        <v>KUP "BLJESAK"</v>
      </c>
      <c r="H288" s="21"/>
    </row>
    <row r="289" spans="4:8" ht="12.75">
      <c r="D289" s="7"/>
      <c r="E289" s="19" t="s">
        <v>73</v>
      </c>
      <c r="F289" s="7"/>
      <c r="G289" s="7"/>
      <c r="H289" s="7"/>
    </row>
    <row r="290" ht="12.75">
      <c r="D290" s="33"/>
    </row>
    <row r="291" spans="2:5" ht="15">
      <c r="B291" s="6" t="s">
        <v>69</v>
      </c>
      <c r="E291" s="20" t="str">
        <f>IF(ISNONTEXT('Upis rezultata B sektora'!D12)=TRUE,"",'Upis rezultata B sektora'!D12)</f>
        <v>Ilova Garešnica</v>
      </c>
    </row>
    <row r="292" ht="12.75">
      <c r="E292" s="18"/>
    </row>
    <row r="293" spans="2:5" ht="12.75">
      <c r="B293" s="6" t="s">
        <v>62</v>
      </c>
      <c r="E293" s="18" t="str">
        <f>IF(ISNONTEXT('Organizacija natjecanja'!H9)=TRUE,"",'Organizacija natjecanja'!H9)</f>
        <v>SENIORI</v>
      </c>
    </row>
    <row r="295" spans="1:9" ht="12.75">
      <c r="A295" s="36"/>
      <c r="B295" s="34" t="s">
        <v>63</v>
      </c>
      <c r="C295" s="34"/>
      <c r="D295" s="35" t="s">
        <v>64</v>
      </c>
      <c r="E295" s="34"/>
      <c r="F295" s="34" t="s">
        <v>74</v>
      </c>
      <c r="G295" s="35" t="s">
        <v>65</v>
      </c>
      <c r="H295" s="34" t="s">
        <v>75</v>
      </c>
      <c r="I295" s="36"/>
    </row>
    <row r="296" spans="2:8" ht="12.75">
      <c r="B296" s="37"/>
      <c r="C296" s="38"/>
      <c r="D296" s="38"/>
      <c r="E296" s="22"/>
      <c r="F296" s="22"/>
      <c r="G296" s="22"/>
      <c r="H296" s="39"/>
    </row>
    <row r="297" spans="2:8" s="68" customFormat="1" ht="15.75">
      <c r="B297" s="89">
        <f>VLOOKUP(D297,'Upis rezultata B sektora'!$E$2:$G$13,3,0)</f>
        <v>52</v>
      </c>
      <c r="C297" s="90"/>
      <c r="D297" s="96" t="str">
        <f>IF(ISNONTEXT('Upis rezultata B sektora'!E12)=TRUE,"",'Upis rezultata B sektora'!E12)</f>
        <v>Tomislav Duković</v>
      </c>
      <c r="E297" s="91"/>
      <c r="F297" s="92">
        <f>IF(ISNUMBER('Prijava ekipa i izvlačenje br.'!B12)=FALSE,"",'Prijava ekipa i izvlačenje br.'!B12)</f>
        <v>8</v>
      </c>
      <c r="G297" s="97" t="str">
        <f>IF((D297)="","","B")</f>
        <v>B</v>
      </c>
      <c r="H297" s="97">
        <f>IF(ISNUMBER('Upis rezultata B sektora'!C12)=FALSE,"",'Upis rezultata B sektora'!C12)</f>
        <v>11</v>
      </c>
    </row>
    <row r="298" spans="2:8" ht="12.75">
      <c r="B298" s="40"/>
      <c r="C298" s="29"/>
      <c r="D298" s="29"/>
      <c r="E298" s="25"/>
      <c r="F298" s="25"/>
      <c r="G298" s="25"/>
      <c r="H298" s="25"/>
    </row>
    <row r="300" spans="1:9" ht="12.75">
      <c r="A300" s="36"/>
      <c r="B300" s="41"/>
      <c r="C300" s="42" t="s">
        <v>76</v>
      </c>
      <c r="D300" s="43"/>
      <c r="E300" s="44" t="s">
        <v>77</v>
      </c>
      <c r="F300" s="43"/>
      <c r="G300" s="44" t="s">
        <v>78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79</v>
      </c>
      <c r="C305" s="6" t="str">
        <f>IF(ISNONTEXT('Organizacija natjecanja'!H24)=TRUE,"",'Organizacija natjecanja'!H24)</f>
        <v>Ivica Medner</v>
      </c>
      <c r="F305" s="6" t="s">
        <v>80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70</v>
      </c>
    </row>
    <row r="313" ht="12.75">
      <c r="G313" s="18" t="str">
        <f>IF(ISNONTEXT('Organizacija natjecanja'!H5)=TRUE,"",'Organizacija natjecanja'!H5)</f>
        <v>Lipik, 28.04.2009.g.</v>
      </c>
    </row>
    <row r="314" ht="12.75">
      <c r="G314" s="19" t="s">
        <v>71</v>
      </c>
    </row>
    <row r="316" spans="4:8" ht="18">
      <c r="D316" s="32"/>
      <c r="E316" s="32" t="s">
        <v>72</v>
      </c>
      <c r="F316" s="32"/>
      <c r="G316" s="32"/>
      <c r="H316" s="32"/>
    </row>
    <row r="318" spans="5:8" ht="15">
      <c r="E318" s="20" t="str">
        <f>IF(ISNONTEXT('Organizacija natjecanja'!H2)=TRUE,"",'Organizacija natjecanja'!H2)</f>
        <v>KUP "BLJESAK"</v>
      </c>
      <c r="H318" s="21"/>
    </row>
    <row r="319" spans="4:8" ht="12.75">
      <c r="D319" s="7"/>
      <c r="E319" s="19" t="s">
        <v>73</v>
      </c>
      <c r="F319" s="7"/>
      <c r="G319" s="7"/>
      <c r="H319" s="7"/>
    </row>
    <row r="320" ht="12.75">
      <c r="D320" s="33"/>
    </row>
    <row r="321" spans="2:5" ht="15">
      <c r="B321" s="6" t="s">
        <v>61</v>
      </c>
      <c r="E321" s="20" t="str">
        <f>IF(ISNONTEXT('Upis rezultata B sektora'!D13)=TRUE,"",'Upis rezultata B sektora'!D13)</f>
        <v>Jez Jasenovac</v>
      </c>
    </row>
    <row r="322" ht="12.75">
      <c r="E322" s="18"/>
    </row>
    <row r="323" spans="2:5" ht="12.75">
      <c r="B323" s="6" t="s">
        <v>62</v>
      </c>
      <c r="E323" s="18" t="str">
        <f>IF(ISNONTEXT('Organizacija natjecanja'!H9)=TRUE,"",'Organizacija natjecanja'!H9)</f>
        <v>SENIORI</v>
      </c>
    </row>
    <row r="325" spans="1:9" ht="12.75">
      <c r="A325" s="36"/>
      <c r="B325" s="34" t="s">
        <v>81</v>
      </c>
      <c r="C325" s="34"/>
      <c r="D325" s="35" t="s">
        <v>64</v>
      </c>
      <c r="E325" s="34"/>
      <c r="F325" s="34" t="s">
        <v>74</v>
      </c>
      <c r="G325" s="35" t="s">
        <v>65</v>
      </c>
      <c r="H325" s="34" t="s">
        <v>75</v>
      </c>
      <c r="I325" s="36"/>
    </row>
    <row r="326" spans="2:8" ht="12.75">
      <c r="B326" s="37"/>
      <c r="C326" s="38"/>
      <c r="D326" s="38"/>
      <c r="E326" s="22"/>
      <c r="F326" s="22"/>
      <c r="G326" s="22"/>
      <c r="H326" s="39"/>
    </row>
    <row r="327" spans="2:8" s="68" customFormat="1" ht="15.75">
      <c r="B327" s="89">
        <f>VLOOKUP(D327,'Upis rezultata B sektora'!$E$2:$G$13,3,0)</f>
        <v>57</v>
      </c>
      <c r="C327" s="90"/>
      <c r="D327" s="96" t="str">
        <f>IF(ISNONTEXT('Upis rezultata B sektora'!E13)=TRUE,"",'Upis rezultata B sektora'!E13)</f>
        <v>Marijan Kumić</v>
      </c>
      <c r="E327" s="91"/>
      <c r="F327" s="92">
        <f>IF(ISNUMBER('Prijava ekipa i izvlačenje br.'!B13)=FALSE,"",'Prijava ekipa i izvlačenje br.'!B13)</f>
        <v>12</v>
      </c>
      <c r="G327" s="97" t="str">
        <f>IF((D327)="","","B")</f>
        <v>B</v>
      </c>
      <c r="H327" s="97">
        <f>IF(ISNUMBER('Upis rezultata B sektora'!C13)=FALSE,"",'Upis rezultata B sektora'!C13)</f>
        <v>12</v>
      </c>
    </row>
    <row r="328" spans="2:8" ht="12.75">
      <c r="B328" s="40"/>
      <c r="C328" s="29"/>
      <c r="D328" s="29"/>
      <c r="E328" s="25"/>
      <c r="F328" s="25"/>
      <c r="G328" s="25"/>
      <c r="H328" s="25"/>
    </row>
    <row r="330" spans="1:9" ht="12.75">
      <c r="A330" s="36"/>
      <c r="B330" s="41"/>
      <c r="C330" s="42" t="s">
        <v>76</v>
      </c>
      <c r="D330" s="43"/>
      <c r="E330" s="44" t="s">
        <v>77</v>
      </c>
      <c r="F330" s="43"/>
      <c r="G330" s="44" t="s">
        <v>78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79</v>
      </c>
      <c r="C335" s="6" t="str">
        <f>IF(ISNONTEXT('Organizacija natjecanja'!H24)=TRUE,"",'Organizacija natjecanja'!H24)</f>
        <v>Ivica Medner</v>
      </c>
      <c r="F335" s="6" t="s">
        <v>80</v>
      </c>
    </row>
    <row r="336" ht="12.75">
      <c r="B336" s="7"/>
    </row>
  </sheetData>
  <sheetProtection password="C7E2" sheet="1" objects="1" scenarios="1"/>
  <printOptions/>
  <pageMargins left="0.7874015748031497" right="0.7874015748031497" top="0.73" bottom="0.79" header="0.57" footer="0.4330708661417323"/>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7.xml><?xml version="1.0" encoding="utf-8"?>
<worksheet xmlns="http://schemas.openxmlformats.org/spreadsheetml/2006/main" xmlns:r="http://schemas.openxmlformats.org/officeDocument/2006/relationships">
  <sheetPr codeName="Sheet7">
    <tabColor indexed="11"/>
  </sheetPr>
  <dimension ref="A2:I336"/>
  <sheetViews>
    <sheetView showGridLines="0" showRowColHeaders="0" zoomScalePageLayoutView="0" workbookViewId="0" topLeftCell="A1">
      <selection activeCell="J30" sqref="J30"/>
    </sheetView>
  </sheetViews>
  <sheetFormatPr defaultColWidth="9.140625" defaultRowHeight="12.75"/>
  <cols>
    <col min="1" max="16384" width="9.140625" style="6" customWidth="1"/>
  </cols>
  <sheetData>
    <row r="2" spans="2:8" ht="15">
      <c r="B2" s="31"/>
      <c r="C2" s="31" t="s">
        <v>70</v>
      </c>
      <c r="H2" s="8"/>
    </row>
    <row r="3" ht="12.75">
      <c r="G3" s="18" t="str">
        <f>IF(ISNONTEXT('Organizacija natjecanja'!H5)=TRUE,"",'Organizacija natjecanja'!H5)</f>
        <v>Lipik, 28.04.2009.g.</v>
      </c>
    </row>
    <row r="4" ht="12.75">
      <c r="G4" s="19" t="s">
        <v>71</v>
      </c>
    </row>
    <row r="5" ht="12.75">
      <c r="H5" s="8"/>
    </row>
    <row r="6" spans="4:8" ht="18">
      <c r="D6" s="32"/>
      <c r="E6" s="32" t="s">
        <v>72</v>
      </c>
      <c r="F6" s="32"/>
      <c r="G6" s="32"/>
      <c r="H6" s="32"/>
    </row>
    <row r="8" spans="5:8" ht="15">
      <c r="E8" s="20" t="str">
        <f>IF(ISNONTEXT('Organizacija natjecanja'!H2)=TRUE,"",'Organizacija natjecanja'!H2)</f>
        <v>KUP "BLJESAK"</v>
      </c>
      <c r="H8" s="21"/>
    </row>
    <row r="9" spans="4:8" ht="12.75">
      <c r="D9" s="7"/>
      <c r="E9" s="19" t="s">
        <v>73</v>
      </c>
      <c r="F9" s="7"/>
      <c r="G9" s="7"/>
      <c r="H9" s="7"/>
    </row>
    <row r="10" ht="12.75">
      <c r="D10" s="33"/>
    </row>
    <row r="11" spans="2:5" ht="15">
      <c r="B11" s="6" t="s">
        <v>69</v>
      </c>
      <c r="E11" s="20" t="str">
        <f>IF(ISNONTEXT('Upis rezultata C sektora'!D2)=TRUE,"",'Upis rezultata C sektora'!D2)</f>
        <v>Korana Karlovac</v>
      </c>
    </row>
    <row r="12" ht="12.75">
      <c r="E12" s="18"/>
    </row>
    <row r="13" spans="2:5" ht="12.75">
      <c r="B13" s="6" t="s">
        <v>62</v>
      </c>
      <c r="E13" s="18" t="str">
        <f>IF(ISNONTEXT('Organizacija natjecanja'!H9)=TRUE,"",'Organizacija natjecanja'!H9)</f>
        <v>SENIORI</v>
      </c>
    </row>
    <row r="15" spans="2:8" s="36" customFormat="1" ht="12">
      <c r="B15" s="34" t="s">
        <v>63</v>
      </c>
      <c r="C15" s="34"/>
      <c r="D15" s="35" t="s">
        <v>64</v>
      </c>
      <c r="E15" s="34"/>
      <c r="F15" s="34" t="s">
        <v>74</v>
      </c>
      <c r="G15" s="35" t="s">
        <v>65</v>
      </c>
      <c r="H15" s="34" t="s">
        <v>75</v>
      </c>
    </row>
    <row r="16" spans="2:8" ht="12.75">
      <c r="B16" s="37"/>
      <c r="C16" s="38"/>
      <c r="D16" s="38"/>
      <c r="E16" s="22"/>
      <c r="F16" s="22"/>
      <c r="G16" s="22"/>
      <c r="H16" s="39"/>
    </row>
    <row r="17" spans="2:8" s="68" customFormat="1" ht="15.75">
      <c r="B17" s="89">
        <f>VLOOKUP(D17,'Upis rezultata C sektora'!$E$2:$G$13,3,0)</f>
        <v>3</v>
      </c>
      <c r="C17" s="90"/>
      <c r="D17" s="96" t="str">
        <f>IF(ISNONTEXT('Upis rezultata C sektora'!E2)=TRUE,"",'Upis rezultata C sektora'!E2)</f>
        <v>Hrvoje Kovač</v>
      </c>
      <c r="E17" s="91"/>
      <c r="F17" s="92">
        <f>IF(ISNUMBER('Prijava ekipa i izvlačenje br.'!B2)=FALSE,"",'Prijava ekipa i izvlačenje br.'!B2)</f>
        <v>3</v>
      </c>
      <c r="G17" s="97" t="str">
        <f>IF((D17)="","","C")</f>
        <v>C</v>
      </c>
      <c r="H17" s="97">
        <f>IF(ISNUMBER('Upis rezultata C sektora'!C2)=FALSE,"",'Upis rezultata C sektora'!C2)</f>
        <v>1</v>
      </c>
    </row>
    <row r="18" spans="2:8" ht="12.75">
      <c r="B18" s="40"/>
      <c r="C18" s="29"/>
      <c r="D18" s="29"/>
      <c r="E18" s="25"/>
      <c r="F18" s="25"/>
      <c r="G18" s="25"/>
      <c r="H18" s="25"/>
    </row>
    <row r="20" spans="2:8" s="36" customFormat="1" ht="12">
      <c r="B20" s="41"/>
      <c r="C20" s="42" t="s">
        <v>76</v>
      </c>
      <c r="D20" s="43"/>
      <c r="E20" s="44" t="s">
        <v>77</v>
      </c>
      <c r="F20" s="43"/>
      <c r="G20" s="44" t="s">
        <v>78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79</v>
      </c>
      <c r="C25" s="6" t="str">
        <f>IF(ISNONTEXT('Organizacija natjecanja'!H26)=TRUE,"",'Organizacija natjecanja'!H26)</f>
        <v>Leonardo Holubek</v>
      </c>
      <c r="F25" s="6" t="s">
        <v>80</v>
      </c>
    </row>
    <row r="26" ht="12.75">
      <c r="B26" s="7"/>
    </row>
    <row r="27" ht="12.75">
      <c r="B27" s="7"/>
    </row>
    <row r="28" ht="12.75">
      <c r="B28" s="7"/>
    </row>
    <row r="29" ht="12.75" customHeight="1">
      <c r="B29" s="7"/>
    </row>
    <row r="30" ht="12.75">
      <c r="B30" s="7"/>
    </row>
    <row r="31" ht="12.75">
      <c r="B31" s="7"/>
    </row>
    <row r="32" spans="2:3" ht="15">
      <c r="B32" s="31"/>
      <c r="C32" s="31" t="s">
        <v>70</v>
      </c>
    </row>
    <row r="33" ht="12.75">
      <c r="G33" s="18" t="str">
        <f>IF(ISNONTEXT('Organizacija natjecanja'!H5)=TRUE,"",'Organizacija natjecanja'!H5)</f>
        <v>Lipik, 28.04.2009.g.</v>
      </c>
    </row>
    <row r="34" ht="12.75">
      <c r="G34" s="19" t="s">
        <v>71</v>
      </c>
    </row>
    <row r="36" spans="4:8" ht="18">
      <c r="D36" s="32"/>
      <c r="E36" s="32" t="s">
        <v>72</v>
      </c>
      <c r="F36" s="32"/>
      <c r="G36" s="32"/>
      <c r="H36" s="32"/>
    </row>
    <row r="38" spans="5:8" ht="15">
      <c r="E38" s="20" t="str">
        <f>IF(ISNONTEXT('Organizacija natjecanja'!H2)=TRUE,"",'Organizacija natjecanja'!H2)</f>
        <v>KUP "BLJESAK"</v>
      </c>
      <c r="H38" s="21"/>
    </row>
    <row r="39" spans="4:8" ht="12.75">
      <c r="D39" s="7"/>
      <c r="E39" s="19" t="s">
        <v>73</v>
      </c>
      <c r="F39" s="7"/>
      <c r="G39" s="7"/>
      <c r="H39" s="7"/>
    </row>
    <row r="40" ht="12.75">
      <c r="D40" s="33"/>
    </row>
    <row r="41" spans="2:5" ht="15">
      <c r="B41" s="6" t="s">
        <v>61</v>
      </c>
      <c r="E41" s="20" t="str">
        <f>IF(ISNONTEXT('Upis rezultata C sektora'!D3)=TRUE,"",'Upis rezultata C sektora'!D3)</f>
        <v>Štuka Torčec</v>
      </c>
    </row>
    <row r="42" ht="12.75">
      <c r="E42" s="18"/>
    </row>
    <row r="43" spans="2:5" ht="12.75">
      <c r="B43" s="6" t="s">
        <v>62</v>
      </c>
      <c r="E43" s="18" t="str">
        <f>IF(ISNONTEXT('Organizacija natjecanja'!H9)=TRUE,"",'Organizacija natjecanja'!H9)</f>
        <v>SENIORI</v>
      </c>
    </row>
    <row r="45" spans="2:8" s="36" customFormat="1" ht="12">
      <c r="B45" s="34" t="s">
        <v>81</v>
      </c>
      <c r="C45" s="34"/>
      <c r="D45" s="35" t="s">
        <v>64</v>
      </c>
      <c r="E45" s="34"/>
      <c r="F45" s="34" t="s">
        <v>74</v>
      </c>
      <c r="G45" s="35" t="s">
        <v>65</v>
      </c>
      <c r="H45" s="34" t="s">
        <v>75</v>
      </c>
    </row>
    <row r="46" spans="2:8" ht="12.75">
      <c r="B46" s="37"/>
      <c r="C46" s="38"/>
      <c r="D46" s="38"/>
      <c r="E46" s="22"/>
      <c r="F46" s="22"/>
      <c r="G46" s="22"/>
      <c r="H46" s="39"/>
    </row>
    <row r="47" spans="2:8" s="68" customFormat="1" ht="15.75">
      <c r="B47" s="89">
        <f>VLOOKUP(D47,'Upis rezultata C sektora'!$E$2:$G$13,3,0)</f>
        <v>8</v>
      </c>
      <c r="C47" s="90"/>
      <c r="D47" s="96" t="str">
        <f>IF(ISNONTEXT('Upis rezultata C sektora'!E3)=TRUE,"",'Upis rezultata C sektora'!E3)</f>
        <v>Danijel Picer</v>
      </c>
      <c r="E47" s="91"/>
      <c r="F47" s="92">
        <f>IF(ISNUMBER('Prijava ekipa i izvlačenje br.'!B3)=FALSE,"",'Prijava ekipa i izvlačenje br.'!B3)</f>
        <v>7</v>
      </c>
      <c r="G47" s="97" t="str">
        <f>IF((D47)="","","C")</f>
        <v>C</v>
      </c>
      <c r="H47" s="97">
        <f>IF(ISNUMBER('Upis rezultata C sektora'!C3)=FALSE,"",'Upis rezultata C sektora'!C3)</f>
        <v>2</v>
      </c>
    </row>
    <row r="48" spans="2:8" ht="12.75">
      <c r="B48" s="40"/>
      <c r="C48" s="29"/>
      <c r="D48" s="29"/>
      <c r="E48" s="25"/>
      <c r="F48" s="25"/>
      <c r="G48" s="25"/>
      <c r="H48" s="25"/>
    </row>
    <row r="50" spans="2:8" s="36" customFormat="1" ht="12">
      <c r="B50" s="41"/>
      <c r="C50" s="42" t="s">
        <v>76</v>
      </c>
      <c r="D50" s="43"/>
      <c r="E50" s="44" t="s">
        <v>77</v>
      </c>
      <c r="F50" s="43"/>
      <c r="G50" s="44" t="s">
        <v>78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79</v>
      </c>
      <c r="C55" s="6" t="str">
        <f>IF(ISNONTEXT('Organizacija natjecanja'!H26)=TRUE,"",'Organizacija natjecanja'!H26)</f>
        <v>Leonardo Holubek</v>
      </c>
      <c r="F55" s="6" t="s">
        <v>80</v>
      </c>
    </row>
    <row r="56" ht="12.75">
      <c r="B56" s="7"/>
    </row>
    <row r="57" ht="12.75">
      <c r="B57" s="7"/>
    </row>
    <row r="58" spans="2:3" ht="15">
      <c r="B58" s="31"/>
      <c r="C58" s="31" t="s">
        <v>70</v>
      </c>
    </row>
    <row r="59" ht="12.75">
      <c r="G59" s="18" t="str">
        <f>IF(ISNONTEXT('Organizacija natjecanja'!H5)=TRUE,"",'Organizacija natjecanja'!H5)</f>
        <v>Lipik, 28.04.2009.g.</v>
      </c>
    </row>
    <row r="60" ht="12.75">
      <c r="G60" s="19" t="s">
        <v>71</v>
      </c>
    </row>
    <row r="62" spans="4:8" ht="18">
      <c r="D62" s="32"/>
      <c r="E62" s="32" t="s">
        <v>72</v>
      </c>
      <c r="F62" s="32"/>
      <c r="G62" s="32"/>
      <c r="H62" s="32"/>
    </row>
    <row r="64" spans="5:8" ht="15">
      <c r="E64" s="20" t="str">
        <f>IF(ISNONTEXT('Organizacija natjecanja'!H2)=TRUE,"",'Organizacija natjecanja'!H2)</f>
        <v>KUP "BLJESAK"</v>
      </c>
      <c r="H64" s="21"/>
    </row>
    <row r="65" spans="4:8" ht="12.75">
      <c r="D65" s="7"/>
      <c r="E65" s="19" t="s">
        <v>73</v>
      </c>
      <c r="F65" s="7"/>
      <c r="G65" s="7"/>
      <c r="H65" s="7"/>
    </row>
    <row r="66" ht="12.75">
      <c r="D66" s="33"/>
    </row>
    <row r="67" spans="2:5" ht="15">
      <c r="B67" s="6" t="s">
        <v>69</v>
      </c>
      <c r="E67" s="20" t="str">
        <f>IF(ISNONTEXT('Upis rezultata C sektora'!D4)=TRUE,"",'Upis rezultata C sektora'!D4)</f>
        <v>Rak Rakitje</v>
      </c>
    </row>
    <row r="68" ht="12.75">
      <c r="E68" s="18"/>
    </row>
    <row r="69" spans="2:5" ht="12.75">
      <c r="B69" s="6" t="s">
        <v>62</v>
      </c>
      <c r="E69" s="18" t="str">
        <f>IF(ISNONTEXT('Organizacija natjecanja'!H9)=TRUE,"",'Organizacija natjecanja'!H9)</f>
        <v>SENIORI</v>
      </c>
    </row>
    <row r="71" spans="1:9" ht="12.75">
      <c r="A71" s="36"/>
      <c r="B71" s="34" t="s">
        <v>63</v>
      </c>
      <c r="C71" s="34"/>
      <c r="D71" s="35" t="s">
        <v>64</v>
      </c>
      <c r="E71" s="34"/>
      <c r="F71" s="34" t="s">
        <v>74</v>
      </c>
      <c r="G71" s="35" t="s">
        <v>65</v>
      </c>
      <c r="H71" s="34" t="s">
        <v>75</v>
      </c>
      <c r="I71" s="36"/>
    </row>
    <row r="72" spans="2:8" ht="12.75">
      <c r="B72" s="37"/>
      <c r="C72" s="38"/>
      <c r="D72" s="38"/>
      <c r="E72" s="22"/>
      <c r="F72" s="22"/>
      <c r="G72" s="22"/>
      <c r="H72" s="39"/>
    </row>
    <row r="73" spans="2:8" s="68" customFormat="1" ht="15.75">
      <c r="B73" s="89">
        <f>VLOOKUP(D73,'Upis rezultata C sektora'!$E$2:$G$13,3,0)</f>
        <v>13</v>
      </c>
      <c r="C73" s="90"/>
      <c r="D73" s="96" t="str">
        <f>IF(ISNONTEXT('Upis rezultata C sektora'!E4)=TRUE,"",'Upis rezultata C sektora'!E4)</f>
        <v>Stjepan Gorički</v>
      </c>
      <c r="E73" s="91"/>
      <c r="F73" s="92">
        <f>IF(ISNUMBER('Prijava ekipa i izvlačenje br.'!B4)=FALSE,"",'Prijava ekipa i izvlačenje br.'!B4)</f>
        <v>9</v>
      </c>
      <c r="G73" s="97" t="str">
        <f>IF((D73)="","","C")</f>
        <v>C</v>
      </c>
      <c r="H73" s="97">
        <f>IF(ISNUMBER('Upis rezultata C sektora'!C4)=FALSE,"",'Upis rezultata C sektora'!C4)</f>
        <v>3</v>
      </c>
    </row>
    <row r="74" spans="2:8" ht="12.75">
      <c r="B74" s="40"/>
      <c r="C74" s="29"/>
      <c r="D74" s="29"/>
      <c r="E74" s="25"/>
      <c r="F74" s="25"/>
      <c r="G74" s="25"/>
      <c r="H74" s="25"/>
    </row>
    <row r="76" spans="1:9" ht="12.75">
      <c r="A76" s="36"/>
      <c r="B76" s="41"/>
      <c r="C76" s="42" t="s">
        <v>76</v>
      </c>
      <c r="D76" s="43"/>
      <c r="E76" s="44" t="s">
        <v>77</v>
      </c>
      <c r="F76" s="43"/>
      <c r="G76" s="44" t="s">
        <v>78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79</v>
      </c>
      <c r="C81" s="6" t="str">
        <f>IF(ISNONTEXT('Organizacija natjecanja'!H26)=TRUE,"",'Organizacija natjecanja'!H26)</f>
        <v>Leonardo Holubek</v>
      </c>
      <c r="F81" s="6" t="s">
        <v>80</v>
      </c>
    </row>
    <row r="82" ht="12.75">
      <c r="B82" s="7"/>
    </row>
    <row r="83" ht="12.75">
      <c r="B83" s="7"/>
    </row>
    <row r="84" ht="12.75">
      <c r="B84" s="7"/>
    </row>
    <row r="85" ht="12.75">
      <c r="B85" s="7"/>
    </row>
    <row r="86" spans="1:9" ht="12.75">
      <c r="A86" s="30"/>
      <c r="B86" s="46"/>
      <c r="C86" s="30"/>
      <c r="D86" s="30"/>
      <c r="E86" s="30"/>
      <c r="F86" s="30"/>
      <c r="G86" s="30"/>
      <c r="H86" s="30"/>
      <c r="I86" s="30"/>
    </row>
    <row r="88" spans="2:3" ht="15">
      <c r="B88" s="31"/>
      <c r="C88" s="31" t="s">
        <v>70</v>
      </c>
    </row>
    <row r="89" ht="12.75">
      <c r="G89" s="18" t="str">
        <f>IF(ISNONTEXT('Organizacija natjecanja'!H5)=TRUE,"",'Organizacija natjecanja'!H5)</f>
        <v>Lipik, 28.04.2009.g.</v>
      </c>
    </row>
    <row r="90" ht="12.75">
      <c r="G90" s="19" t="s">
        <v>71</v>
      </c>
    </row>
    <row r="92" spans="4:8" ht="18">
      <c r="D92" s="32"/>
      <c r="E92" s="32" t="s">
        <v>72</v>
      </c>
      <c r="F92" s="32"/>
      <c r="G92" s="32"/>
      <c r="H92" s="32"/>
    </row>
    <row r="94" spans="5:8" ht="15">
      <c r="E94" s="20" t="str">
        <f>IF(ISNONTEXT('Organizacija natjecanja'!H2)=TRUE,"",'Organizacija natjecanja'!H2)</f>
        <v>KUP "BLJESAK"</v>
      </c>
      <c r="H94" s="21"/>
    </row>
    <row r="95" spans="4:8" ht="12.75">
      <c r="D95" s="7"/>
      <c r="E95" s="19" t="s">
        <v>73</v>
      </c>
      <c r="F95" s="7"/>
      <c r="G95" s="7"/>
      <c r="H95" s="7"/>
    </row>
    <row r="96" ht="12.75">
      <c r="D96" s="33"/>
    </row>
    <row r="97" spans="2:5" ht="15">
      <c r="B97" s="6" t="s">
        <v>61</v>
      </c>
      <c r="E97" s="20" t="str">
        <f>IF(ISNONTEXT('Upis rezultata C sektora'!D5)=TRUE,"",'Upis rezultata C sektora'!D5)</f>
        <v>Bjelovar Bjelovar</v>
      </c>
    </row>
    <row r="98" ht="12.75">
      <c r="E98" s="18"/>
    </row>
    <row r="99" spans="2:5" ht="12.75">
      <c r="B99" s="6" t="s">
        <v>62</v>
      </c>
      <c r="E99" s="18" t="str">
        <f>IF(ISNONTEXT('Organizacija natjecanja'!H9)=TRUE,"",'Organizacija natjecanja'!H9)</f>
        <v>SENIORI</v>
      </c>
    </row>
    <row r="101" spans="1:9" ht="12.75">
      <c r="A101" s="36"/>
      <c r="B101" s="34" t="s">
        <v>81</v>
      </c>
      <c r="C101" s="34"/>
      <c r="D101" s="35" t="s">
        <v>64</v>
      </c>
      <c r="E101" s="34"/>
      <c r="F101" s="34" t="s">
        <v>74</v>
      </c>
      <c r="G101" s="35" t="s">
        <v>65</v>
      </c>
      <c r="H101" s="34" t="s">
        <v>75</v>
      </c>
      <c r="I101" s="36"/>
    </row>
    <row r="102" spans="2:8" ht="12.75">
      <c r="B102" s="37"/>
      <c r="C102" s="38"/>
      <c r="D102" s="38"/>
      <c r="E102" s="22"/>
      <c r="F102" s="22"/>
      <c r="G102" s="22"/>
      <c r="H102" s="39"/>
    </row>
    <row r="103" spans="2:8" s="68" customFormat="1" ht="15.75">
      <c r="B103" s="89">
        <f>VLOOKUP(D103,'Upis rezultata C sektora'!$E$2:$G$13,3,0)</f>
        <v>18</v>
      </c>
      <c r="C103" s="90"/>
      <c r="D103" s="96" t="str">
        <f>IF(ISNONTEXT('Upis rezultata C sektora'!E5)=TRUE,"",'Upis rezultata C sektora'!E5)</f>
        <v>Ivo Begović</v>
      </c>
      <c r="E103" s="91"/>
      <c r="F103" s="92">
        <f>IF(ISNUMBER('Prijava ekipa i izvlačenje br.'!B5)=FALSE,"",'Prijava ekipa i izvlačenje br.'!B5)</f>
        <v>11</v>
      </c>
      <c r="G103" s="97" t="str">
        <f>IF((D103)="","","C")</f>
        <v>C</v>
      </c>
      <c r="H103" s="97">
        <f>IF(ISNUMBER('Upis rezultata C sektora'!C5)=FALSE,"",'Upis rezultata C sektora'!C5)</f>
        <v>4</v>
      </c>
    </row>
    <row r="104" spans="2:8" ht="12.75">
      <c r="B104" s="40"/>
      <c r="C104" s="29"/>
      <c r="D104" s="29"/>
      <c r="E104" s="25"/>
      <c r="F104" s="25"/>
      <c r="G104" s="25"/>
      <c r="H104" s="25"/>
    </row>
    <row r="106" spans="1:9" ht="12.75">
      <c r="A106" s="36"/>
      <c r="B106" s="41"/>
      <c r="C106" s="42" t="s">
        <v>76</v>
      </c>
      <c r="D106" s="43"/>
      <c r="E106" s="44" t="s">
        <v>77</v>
      </c>
      <c r="F106" s="43"/>
      <c r="G106" s="44" t="s">
        <v>78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79</v>
      </c>
      <c r="C111" s="6" t="str">
        <f>IF(ISNONTEXT('Organizacija natjecanja'!H26)=TRUE,"",'Organizacija natjecanja'!H26)</f>
        <v>Leonardo Holubek</v>
      </c>
      <c r="F111" s="6" t="s">
        <v>80</v>
      </c>
    </row>
    <row r="112" ht="12.75">
      <c r="B112" s="7"/>
    </row>
    <row r="113" ht="12.75">
      <c r="B113" s="7"/>
    </row>
    <row r="114" spans="2:3" ht="15">
      <c r="B114" s="31"/>
      <c r="C114" s="31" t="s">
        <v>70</v>
      </c>
    </row>
    <row r="115" ht="12.75">
      <c r="G115" s="18" t="str">
        <f>IF(ISNONTEXT('Organizacija natjecanja'!H5)=TRUE,"",'Organizacija natjecanja'!H5)</f>
        <v>Lipik, 28.04.2009.g.</v>
      </c>
    </row>
    <row r="116" ht="12.75">
      <c r="G116" s="19" t="s">
        <v>71</v>
      </c>
    </row>
    <row r="118" spans="4:8" ht="18">
      <c r="D118" s="32"/>
      <c r="E118" s="32" t="s">
        <v>72</v>
      </c>
      <c r="F118" s="32"/>
      <c r="G118" s="32"/>
      <c r="H118" s="32"/>
    </row>
    <row r="120" spans="5:8" ht="15">
      <c r="E120" s="20" t="str">
        <f>IF(ISNONTEXT('Organizacija natjecanja'!H2)=TRUE,"",'Organizacija natjecanja'!H2)</f>
        <v>KUP "BLJESAK"</v>
      </c>
      <c r="H120" s="21"/>
    </row>
    <row r="121" spans="4:8" ht="12.75">
      <c r="D121" s="7"/>
      <c r="E121" s="19" t="s">
        <v>73</v>
      </c>
      <c r="F121" s="7"/>
      <c r="G121" s="7"/>
      <c r="H121" s="7"/>
    </row>
    <row r="122" ht="12.75">
      <c r="D122" s="33"/>
    </row>
    <row r="123" spans="2:5" ht="15">
      <c r="B123" s="6" t="s">
        <v>69</v>
      </c>
      <c r="E123" s="20" t="str">
        <f>IF(ISNONTEXT('Upis rezultata C sektora'!D6)=TRUE,"",'Upis rezultata C sektora'!D6)</f>
        <v>Varaždin Varaždin</v>
      </c>
    </row>
    <row r="124" ht="12.75">
      <c r="E124" s="18"/>
    </row>
    <row r="125" spans="2:5" ht="12.75">
      <c r="B125" s="6" t="s">
        <v>62</v>
      </c>
      <c r="E125" s="18" t="str">
        <f>IF(ISNONTEXT('Organizacija natjecanja'!H9)=TRUE,"",'Organizacija natjecanja'!H9)</f>
        <v>SENIORI</v>
      </c>
    </row>
    <row r="127" spans="1:9" ht="12.75">
      <c r="A127" s="36"/>
      <c r="B127" s="34" t="s">
        <v>63</v>
      </c>
      <c r="C127" s="34"/>
      <c r="D127" s="35" t="s">
        <v>64</v>
      </c>
      <c r="E127" s="34"/>
      <c r="F127" s="34" t="s">
        <v>74</v>
      </c>
      <c r="G127" s="35" t="s">
        <v>65</v>
      </c>
      <c r="H127" s="34" t="s">
        <v>75</v>
      </c>
      <c r="I127" s="36"/>
    </row>
    <row r="128" spans="2:8" ht="12.75">
      <c r="B128" s="37"/>
      <c r="C128" s="38"/>
      <c r="D128" s="38"/>
      <c r="E128" s="22"/>
      <c r="F128" s="22"/>
      <c r="G128" s="22"/>
      <c r="H128" s="39"/>
    </row>
    <row r="129" spans="2:8" s="68" customFormat="1" ht="15.75">
      <c r="B129" s="89">
        <f>VLOOKUP(D129,'Upis rezultata C sektora'!$E$2:$G$13,3,0)</f>
        <v>23</v>
      </c>
      <c r="C129" s="90"/>
      <c r="D129" s="96" t="str">
        <f>IF(ISNONTEXT('Upis rezultata C sektora'!E6)=TRUE,"",'Upis rezultata C sektora'!E6)</f>
        <v>Marijan Lisjak</v>
      </c>
      <c r="E129" s="91"/>
      <c r="F129" s="92">
        <f>IF(ISNUMBER('Prijava ekipa i izvlačenje br.'!B6)=FALSE,"",'Prijava ekipa i izvlačenje br.'!B6)</f>
        <v>10</v>
      </c>
      <c r="G129" s="97" t="str">
        <f>IF((D129)="","","C")</f>
        <v>C</v>
      </c>
      <c r="H129" s="97">
        <f>IF(ISNUMBER('Upis rezultata C sektora'!C6)=FALSE,"",'Upis rezultata C sektora'!C6)</f>
        <v>5</v>
      </c>
    </row>
    <row r="130" spans="2:8" ht="12.75">
      <c r="B130" s="40"/>
      <c r="C130" s="29"/>
      <c r="D130" s="29"/>
      <c r="E130" s="25"/>
      <c r="F130" s="25"/>
      <c r="G130" s="25"/>
      <c r="H130" s="25"/>
    </row>
    <row r="132" spans="1:9" ht="12.75">
      <c r="A132" s="36"/>
      <c r="B132" s="41"/>
      <c r="C132" s="42" t="s">
        <v>76</v>
      </c>
      <c r="D132" s="43"/>
      <c r="E132" s="44" t="s">
        <v>77</v>
      </c>
      <c r="F132" s="43"/>
      <c r="G132" s="44" t="s">
        <v>78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79</v>
      </c>
      <c r="C137" s="6" t="str">
        <f>IF(ISNONTEXT('Organizacija natjecanja'!H26)=TRUE,"",'Organizacija natjecanja'!H26)</f>
        <v>Leonardo Holubek</v>
      </c>
      <c r="F137" s="6" t="s">
        <v>80</v>
      </c>
    </row>
    <row r="138" ht="12.75">
      <c r="B138" s="7"/>
    </row>
    <row r="139" ht="12.75">
      <c r="B139" s="7"/>
    </row>
    <row r="140" ht="12.75">
      <c r="B140" s="7"/>
    </row>
    <row r="141" ht="12.75">
      <c r="B141" s="7"/>
    </row>
    <row r="142" spans="1:9" ht="12.75">
      <c r="A142" s="30"/>
      <c r="B142" s="46"/>
      <c r="C142" s="30"/>
      <c r="D142" s="30"/>
      <c r="E142" s="30"/>
      <c r="F142" s="30"/>
      <c r="G142" s="30"/>
      <c r="H142" s="30"/>
      <c r="I142" s="30"/>
    </row>
    <row r="144" spans="2:3" ht="15">
      <c r="B144" s="31"/>
      <c r="C144" s="31" t="s">
        <v>70</v>
      </c>
    </row>
    <row r="145" ht="12.75">
      <c r="G145" s="18" t="str">
        <f>IF(ISNONTEXT('Organizacija natjecanja'!H5)=TRUE,"",'Organizacija natjecanja'!H5)</f>
        <v>Lipik, 28.04.2009.g.</v>
      </c>
    </row>
    <row r="146" ht="12.75">
      <c r="G146" s="19" t="s">
        <v>71</v>
      </c>
    </row>
    <row r="148" spans="4:8" ht="18">
      <c r="D148" s="32"/>
      <c r="E148" s="32" t="s">
        <v>72</v>
      </c>
      <c r="F148" s="32"/>
      <c r="G148" s="32"/>
      <c r="H148" s="32"/>
    </row>
    <row r="150" spans="5:8" ht="15">
      <c r="E150" s="20" t="str">
        <f>IF(ISNONTEXT('Organizacija natjecanja'!H2)=TRUE,"",'Organizacija natjecanja'!H2)</f>
        <v>KUP "BLJESAK"</v>
      </c>
      <c r="H150" s="21"/>
    </row>
    <row r="151" spans="4:8" ht="12.75">
      <c r="D151" s="7"/>
      <c r="E151" s="19" t="s">
        <v>73</v>
      </c>
      <c r="F151" s="7"/>
      <c r="G151" s="7"/>
      <c r="H151" s="7"/>
    </row>
    <row r="152" ht="12.75">
      <c r="D152" s="33"/>
    </row>
    <row r="153" spans="2:5" ht="15">
      <c r="B153" s="6" t="s">
        <v>61</v>
      </c>
      <c r="E153" s="20" t="str">
        <f>IF(ISNONTEXT('Upis rezultata C sektora'!D7)=TRUE,"",'Upis rezultata C sektora'!D7)</f>
        <v>Azzuro Varaždin</v>
      </c>
    </row>
    <row r="154" ht="12.75">
      <c r="E154" s="18"/>
    </row>
    <row r="155" spans="2:5" ht="12.75">
      <c r="B155" s="6" t="s">
        <v>62</v>
      </c>
      <c r="E155" s="18" t="str">
        <f>IF(ISNONTEXT('Organizacija natjecanja'!H9)=TRUE,"",'Organizacija natjecanja'!H9)</f>
        <v>SENIORI</v>
      </c>
    </row>
    <row r="157" spans="1:9" ht="12.75">
      <c r="A157" s="36"/>
      <c r="B157" s="34" t="s">
        <v>81</v>
      </c>
      <c r="C157" s="34"/>
      <c r="D157" s="35" t="s">
        <v>64</v>
      </c>
      <c r="E157" s="34"/>
      <c r="F157" s="34" t="s">
        <v>74</v>
      </c>
      <c r="G157" s="35" t="s">
        <v>65</v>
      </c>
      <c r="H157" s="34" t="s">
        <v>75</v>
      </c>
      <c r="I157" s="36"/>
    </row>
    <row r="158" spans="2:8" ht="12.75">
      <c r="B158" s="37"/>
      <c r="C158" s="38"/>
      <c r="D158" s="38"/>
      <c r="E158" s="22"/>
      <c r="F158" s="22"/>
      <c r="G158" s="22"/>
      <c r="H158" s="39"/>
    </row>
    <row r="159" spans="2:8" s="68" customFormat="1" ht="15.75">
      <c r="B159" s="89">
        <f>VLOOKUP(D159,'Upis rezultata C sektora'!$E$2:$G$13,3,0)</f>
        <v>28</v>
      </c>
      <c r="C159" s="90"/>
      <c r="D159" s="96" t="str">
        <f>IF(ISNONTEXT('Upis rezultata C sektora'!E7)=TRUE,"",'Upis rezultata C sektora'!E7)</f>
        <v>Ljubo Matulin</v>
      </c>
      <c r="E159" s="91"/>
      <c r="F159" s="92">
        <f>IF(ISNUMBER('Prijava ekipa i izvlačenje br.'!B7)=FALSE,"",'Prijava ekipa i izvlačenje br.'!B7)</f>
        <v>4</v>
      </c>
      <c r="G159" s="97" t="str">
        <f>IF((D159)="","","C")</f>
        <v>C</v>
      </c>
      <c r="H159" s="97">
        <f>IF(ISNUMBER('Upis rezultata C sektora'!C7)=FALSE,"",'Upis rezultata C sektora'!C7)</f>
        <v>6</v>
      </c>
    </row>
    <row r="160" spans="2:8" ht="12.75">
      <c r="B160" s="40"/>
      <c r="C160" s="29"/>
      <c r="D160" s="29"/>
      <c r="E160" s="25"/>
      <c r="F160" s="25"/>
      <c r="G160" s="25"/>
      <c r="H160" s="25"/>
    </row>
    <row r="162" spans="1:9" ht="12.75">
      <c r="A162" s="36"/>
      <c r="B162" s="41"/>
      <c r="C162" s="42" t="s">
        <v>76</v>
      </c>
      <c r="D162" s="43"/>
      <c r="E162" s="44" t="s">
        <v>77</v>
      </c>
      <c r="F162" s="43"/>
      <c r="G162" s="44" t="s">
        <v>78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79</v>
      </c>
      <c r="C167" s="6" t="str">
        <f>IF(ISNONTEXT('Organizacija natjecanja'!H26)=TRUE,"",'Organizacija natjecanja'!H26)</f>
        <v>Leonardo Holubek</v>
      </c>
      <c r="F167" s="6" t="s">
        <v>80</v>
      </c>
    </row>
    <row r="168" ht="12.75">
      <c r="B168" s="7"/>
    </row>
    <row r="169" ht="12.75">
      <c r="B169" s="7"/>
    </row>
    <row r="170" spans="2:3" ht="15">
      <c r="B170" s="31"/>
      <c r="C170" s="31" t="s">
        <v>70</v>
      </c>
    </row>
    <row r="171" ht="12.75">
      <c r="G171" s="18" t="str">
        <f>IF(ISNONTEXT('Organizacija natjecanja'!H5)=TRUE,"",'Organizacija natjecanja'!H5)</f>
        <v>Lipik, 28.04.2009.g.</v>
      </c>
    </row>
    <row r="172" ht="12.75">
      <c r="G172" s="19" t="s">
        <v>71</v>
      </c>
    </row>
    <row r="174" spans="4:8" ht="18">
      <c r="D174" s="32"/>
      <c r="E174" s="32" t="s">
        <v>72</v>
      </c>
      <c r="F174" s="32"/>
      <c r="G174" s="32"/>
      <c r="H174" s="32"/>
    </row>
    <row r="176" spans="5:8" ht="15">
      <c r="E176" s="20" t="str">
        <f>IF(ISNONTEXT('Organizacija natjecanja'!H2)=TRUE,"",'Organizacija natjecanja'!H2)</f>
        <v>KUP "BLJESAK"</v>
      </c>
      <c r="H176" s="21"/>
    </row>
    <row r="177" spans="4:8" ht="12.75">
      <c r="D177" s="7"/>
      <c r="E177" s="19" t="s">
        <v>73</v>
      </c>
      <c r="F177" s="7"/>
      <c r="G177" s="7"/>
      <c r="H177" s="7"/>
    </row>
    <row r="178" ht="12.75">
      <c r="D178" s="33"/>
    </row>
    <row r="179" spans="2:5" ht="15">
      <c r="B179" s="6" t="s">
        <v>69</v>
      </c>
      <c r="E179" s="20" t="str">
        <f>IF(ISNONTEXT('Upis rezultata C sektora'!D8)=TRUE,"",'Upis rezultata C sektora'!D8)</f>
        <v>Trnje-ŠR Zagreb</v>
      </c>
    </row>
    <row r="180" ht="12.75">
      <c r="E180" s="18"/>
    </row>
    <row r="181" spans="2:5" ht="12.75">
      <c r="B181" s="6" t="s">
        <v>62</v>
      </c>
      <c r="E181" s="18" t="str">
        <f>IF(ISNONTEXT('Organizacija natjecanja'!H9)=TRUE,"",'Organizacija natjecanja'!H9)</f>
        <v>SENIORI</v>
      </c>
    </row>
    <row r="183" spans="1:9" ht="12.75">
      <c r="A183" s="36"/>
      <c r="B183" s="34" t="s">
        <v>63</v>
      </c>
      <c r="C183" s="34"/>
      <c r="D183" s="35" t="s">
        <v>64</v>
      </c>
      <c r="E183" s="34"/>
      <c r="F183" s="34" t="s">
        <v>74</v>
      </c>
      <c r="G183" s="35" t="s">
        <v>65</v>
      </c>
      <c r="H183" s="34" t="s">
        <v>75</v>
      </c>
      <c r="I183" s="36"/>
    </row>
    <row r="184" spans="2:8" ht="12.75">
      <c r="B184" s="37"/>
      <c r="C184" s="38"/>
      <c r="D184" s="38"/>
      <c r="E184" s="22"/>
      <c r="F184" s="22"/>
      <c r="G184" s="22"/>
      <c r="H184" s="39"/>
    </row>
    <row r="185" spans="2:8" s="68" customFormat="1" ht="15.75">
      <c r="B185" s="89">
        <f>VLOOKUP(D185,'Upis rezultata C sektora'!$E$2:$G$13,3,0)</f>
        <v>33</v>
      </c>
      <c r="C185" s="90"/>
      <c r="D185" s="96" t="str">
        <f>IF(ISNONTEXT('Upis rezultata C sektora'!E8)=TRUE,"",'Upis rezultata C sektora'!E8)</f>
        <v>Ivan Fehir</v>
      </c>
      <c r="E185" s="91"/>
      <c r="F185" s="92">
        <f>IF(ISNUMBER('Prijava ekipa i izvlačenje br.'!B8)=FALSE,"",'Prijava ekipa i izvlačenje br.'!B8)</f>
        <v>2</v>
      </c>
      <c r="G185" s="97" t="str">
        <f>IF((D185)="","","C")</f>
        <v>C</v>
      </c>
      <c r="H185" s="97">
        <f>IF(ISNUMBER('Upis rezultata C sektora'!C8)=FALSE,"",'Upis rezultata C sektora'!C8)</f>
        <v>7</v>
      </c>
    </row>
    <row r="186" spans="2:8" ht="12.75">
      <c r="B186" s="40"/>
      <c r="C186" s="29"/>
      <c r="D186" s="29"/>
      <c r="E186" s="25"/>
      <c r="F186" s="25"/>
      <c r="G186" s="25"/>
      <c r="H186" s="25"/>
    </row>
    <row r="188" spans="1:9" ht="12.75">
      <c r="A188" s="36"/>
      <c r="B188" s="41"/>
      <c r="C188" s="42" t="s">
        <v>76</v>
      </c>
      <c r="D188" s="43"/>
      <c r="E188" s="44" t="s">
        <v>77</v>
      </c>
      <c r="F188" s="43"/>
      <c r="G188" s="44" t="s">
        <v>78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79</v>
      </c>
      <c r="C193" s="6" t="str">
        <f>IF(ISNONTEXT('Organizacija natjecanja'!H26)=TRUE,"",'Organizacija natjecanja'!H26)</f>
        <v>Leonardo Holubek</v>
      </c>
      <c r="F193" s="6" t="s">
        <v>80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70</v>
      </c>
    </row>
    <row r="201" ht="12.75">
      <c r="G201" s="18" t="str">
        <f>IF(ISNONTEXT('Organizacija natjecanja'!H5)=TRUE,"",'Organizacija natjecanja'!H5)</f>
        <v>Lipik, 28.04.2009.g.</v>
      </c>
    </row>
    <row r="202" ht="12.75">
      <c r="G202" s="19" t="s">
        <v>71</v>
      </c>
    </row>
    <row r="204" spans="4:8" ht="18">
      <c r="D204" s="32"/>
      <c r="E204" s="32" t="s">
        <v>72</v>
      </c>
      <c r="F204" s="32"/>
      <c r="G204" s="32"/>
      <c r="H204" s="32"/>
    </row>
    <row r="206" spans="5:8" ht="15">
      <c r="E206" s="20" t="str">
        <f>IF(ISNONTEXT('Organizacija natjecanja'!H2)=TRUE,"",'Organizacija natjecanja'!H2)</f>
        <v>KUP "BLJESAK"</v>
      </c>
      <c r="H206" s="21"/>
    </row>
    <row r="207" spans="4:8" ht="12.75">
      <c r="D207" s="7"/>
      <c r="E207" s="19" t="s">
        <v>73</v>
      </c>
      <c r="F207" s="7"/>
      <c r="G207" s="7"/>
      <c r="H207" s="7"/>
    </row>
    <row r="208" ht="12.75">
      <c r="D208" s="33"/>
    </row>
    <row r="209" spans="2:5" ht="15">
      <c r="B209" s="6" t="s">
        <v>61</v>
      </c>
      <c r="E209" s="20" t="str">
        <f>IF(ISNONTEXT('Upis rezultata C sektora'!D9)=TRUE,"",'Upis rezultata C sektora'!D9)</f>
        <v>Klen N.Gradiška</v>
      </c>
    </row>
    <row r="210" ht="12.75">
      <c r="E210" s="18"/>
    </row>
    <row r="211" spans="2:5" ht="12.75">
      <c r="B211" s="6" t="s">
        <v>62</v>
      </c>
      <c r="E211" s="18" t="str">
        <f>IF(ISNONTEXT('Organizacija natjecanja'!H9)=TRUE,"",'Organizacija natjecanja'!H9)</f>
        <v>SENIORI</v>
      </c>
    </row>
    <row r="213" spans="1:9" ht="12.75">
      <c r="A213" s="36"/>
      <c r="B213" s="34" t="s">
        <v>81</v>
      </c>
      <c r="C213" s="34"/>
      <c r="D213" s="35" t="s">
        <v>64</v>
      </c>
      <c r="E213" s="34"/>
      <c r="F213" s="34" t="s">
        <v>74</v>
      </c>
      <c r="G213" s="35" t="s">
        <v>65</v>
      </c>
      <c r="H213" s="34" t="s">
        <v>75</v>
      </c>
      <c r="I213" s="36"/>
    </row>
    <row r="214" spans="2:8" ht="12.75">
      <c r="B214" s="37"/>
      <c r="C214" s="38"/>
      <c r="D214" s="38"/>
      <c r="E214" s="22"/>
      <c r="F214" s="22"/>
      <c r="G214" s="22"/>
      <c r="H214" s="39"/>
    </row>
    <row r="215" spans="2:8" s="68" customFormat="1" ht="15.75">
      <c r="B215" s="89">
        <f>VLOOKUP(D215,'Upis rezultata C sektora'!$E$2:$G$13,3,0)</f>
        <v>38</v>
      </c>
      <c r="C215" s="90"/>
      <c r="D215" s="96" t="str">
        <f>IF(ISNONTEXT('Upis rezultata C sektora'!E9)=TRUE,"",'Upis rezultata C sektora'!E9)</f>
        <v>Petar Petrović</v>
      </c>
      <c r="E215" s="91"/>
      <c r="F215" s="92">
        <f>IF(ISNUMBER('Prijava ekipa i izvlačenje br.'!B9)=FALSE,"",'Prijava ekipa i izvlačenje br.'!B9)</f>
        <v>6</v>
      </c>
      <c r="G215" s="97" t="str">
        <f>IF((D215)="","","C")</f>
        <v>C</v>
      </c>
      <c r="H215" s="97">
        <f>IF(ISNUMBER('Upis rezultata C sektora'!C9)=FALSE,"",'Upis rezultata C sektora'!C9)</f>
        <v>8</v>
      </c>
    </row>
    <row r="216" spans="2:8" ht="12.75">
      <c r="B216" s="40"/>
      <c r="C216" s="29"/>
      <c r="D216" s="29"/>
      <c r="E216" s="25"/>
      <c r="F216" s="25"/>
      <c r="G216" s="25"/>
      <c r="H216" s="25"/>
    </row>
    <row r="218" spans="1:9" ht="12.75">
      <c r="A218" s="36"/>
      <c r="B218" s="41"/>
      <c r="C218" s="42" t="s">
        <v>76</v>
      </c>
      <c r="D218" s="43"/>
      <c r="E218" s="44" t="s">
        <v>77</v>
      </c>
      <c r="F218" s="43"/>
      <c r="G218" s="44" t="s">
        <v>78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79</v>
      </c>
      <c r="C223" s="6" t="str">
        <f>IF(ISNONTEXT('Organizacija natjecanja'!H26)=TRUE,"",'Organizacija natjecanja'!H26)</f>
        <v>Leonardo Holubek</v>
      </c>
      <c r="F223" s="6" t="s">
        <v>80</v>
      </c>
    </row>
    <row r="224" ht="12.75">
      <c r="B224" s="7"/>
    </row>
    <row r="225" ht="12.75">
      <c r="B225" s="7"/>
    </row>
    <row r="226" spans="2:3" ht="15">
      <c r="B226" s="31"/>
      <c r="C226" s="31" t="s">
        <v>70</v>
      </c>
    </row>
    <row r="227" ht="12.75">
      <c r="G227" s="18" t="str">
        <f>IF(ISNONTEXT('Organizacija natjecanja'!H5)=TRUE,"",'Organizacija natjecanja'!H5)</f>
        <v>Lipik, 28.04.2009.g.</v>
      </c>
    </row>
    <row r="228" ht="12.75">
      <c r="G228" s="19" t="s">
        <v>71</v>
      </c>
    </row>
    <row r="230" spans="4:8" ht="18">
      <c r="D230" s="32"/>
      <c r="E230" s="32" t="s">
        <v>72</v>
      </c>
      <c r="F230" s="32"/>
      <c r="G230" s="32"/>
      <c r="H230" s="32"/>
    </row>
    <row r="232" spans="5:8" ht="15">
      <c r="E232" s="20" t="str">
        <f>IF(ISNONTEXT('Organizacija natjecanja'!H2)=TRUE,"",'Organizacija natjecanja'!H2)</f>
        <v>KUP "BLJESAK"</v>
      </c>
      <c r="H232" s="21"/>
    </row>
    <row r="233" spans="4:8" ht="12.75">
      <c r="D233" s="7"/>
      <c r="E233" s="19" t="s">
        <v>73</v>
      </c>
      <c r="F233" s="7"/>
      <c r="G233" s="7"/>
      <c r="H233" s="7"/>
    </row>
    <row r="234" ht="12.75">
      <c r="D234" s="33"/>
    </row>
    <row r="235" spans="2:5" ht="15">
      <c r="B235" s="6" t="s">
        <v>69</v>
      </c>
      <c r="E235" s="20" t="str">
        <f>IF(ISNONTEXT('Upis rezultata C sektora'!D10)=TRUE,"",'Upis rezultata C sektora'!D10)</f>
        <v>Bjelka GME Sunja</v>
      </c>
    </row>
    <row r="236" ht="12.75">
      <c r="E236" s="18"/>
    </row>
    <row r="237" spans="2:5" ht="12.75">
      <c r="B237" s="6" t="s">
        <v>62</v>
      </c>
      <c r="E237" s="18" t="str">
        <f>IF(ISNONTEXT('Organizacija natjecanja'!H9)=TRUE,"",'Organizacija natjecanja'!H9)</f>
        <v>SENIORI</v>
      </c>
    </row>
    <row r="239" spans="1:9" ht="12.75">
      <c r="A239" s="36"/>
      <c r="B239" s="34" t="s">
        <v>63</v>
      </c>
      <c r="C239" s="34"/>
      <c r="D239" s="35" t="s">
        <v>64</v>
      </c>
      <c r="E239" s="34"/>
      <c r="F239" s="34" t="s">
        <v>74</v>
      </c>
      <c r="G239" s="35" t="s">
        <v>65</v>
      </c>
      <c r="H239" s="34" t="s">
        <v>75</v>
      </c>
      <c r="I239" s="36"/>
    </row>
    <row r="240" spans="2:8" ht="12.75">
      <c r="B240" s="37"/>
      <c r="C240" s="38"/>
      <c r="D240" s="38"/>
      <c r="E240" s="22"/>
      <c r="F240" s="22"/>
      <c r="G240" s="22"/>
      <c r="H240" s="39"/>
    </row>
    <row r="241" spans="2:8" s="68" customFormat="1" ht="15.75">
      <c r="B241" s="89">
        <f>VLOOKUP(D241,'Upis rezultata C sektora'!$E$2:$G$13,3,0)</f>
        <v>43</v>
      </c>
      <c r="C241" s="90"/>
      <c r="D241" s="96" t="str">
        <f>IF(ISNONTEXT('Upis rezultata C sektora'!E10)=TRUE,"",'Upis rezultata C sektora'!E10)</f>
        <v>Dejan Vondrak</v>
      </c>
      <c r="E241" s="91"/>
      <c r="F241" s="92">
        <f>IF(ISNUMBER('Prijava ekipa i izvlačenje br.'!B10)=FALSE,"",'Prijava ekipa i izvlačenje br.'!B10)</f>
        <v>5</v>
      </c>
      <c r="G241" s="97" t="str">
        <f>IF((D241)="","","C")</f>
        <v>C</v>
      </c>
      <c r="H241" s="97">
        <f>IF(ISNUMBER('Upis rezultata C sektora'!C10)=FALSE,"",'Upis rezultata C sektora'!C10)</f>
        <v>9</v>
      </c>
    </row>
    <row r="242" spans="2:8" ht="12.75">
      <c r="B242" s="40"/>
      <c r="C242" s="29"/>
      <c r="D242" s="29"/>
      <c r="E242" s="25"/>
      <c r="F242" s="25"/>
      <c r="G242" s="25"/>
      <c r="H242" s="25"/>
    </row>
    <row r="244" spans="1:9" ht="12.75">
      <c r="A244" s="36"/>
      <c r="B244" s="41"/>
      <c r="C244" s="42" t="s">
        <v>76</v>
      </c>
      <c r="D244" s="43"/>
      <c r="E244" s="44" t="s">
        <v>77</v>
      </c>
      <c r="F244" s="43"/>
      <c r="G244" s="44" t="s">
        <v>78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79</v>
      </c>
      <c r="C249" s="6" t="str">
        <f>IF(ISNONTEXT('Organizacija natjecanja'!H26)=TRUE,"",'Organizacija natjecanja'!H26)</f>
        <v>Leonardo Holubek</v>
      </c>
      <c r="F249" s="6" t="s">
        <v>80</v>
      </c>
    </row>
    <row r="250" ht="12.75">
      <c r="B250" s="7"/>
    </row>
    <row r="251" ht="12.75">
      <c r="B251" s="7"/>
    </row>
    <row r="252" ht="12.75">
      <c r="B252" s="7"/>
    </row>
    <row r="253" ht="12.75">
      <c r="B253" s="7"/>
    </row>
    <row r="254" spans="1:9" ht="12.75">
      <c r="A254" s="30"/>
      <c r="B254" s="46"/>
      <c r="C254" s="30"/>
      <c r="D254" s="30"/>
      <c r="E254" s="30"/>
      <c r="F254" s="30"/>
      <c r="G254" s="30"/>
      <c r="H254" s="30"/>
      <c r="I254" s="30"/>
    </row>
    <row r="256" spans="2:3" ht="15">
      <c r="B256" s="31"/>
      <c r="C256" s="31" t="s">
        <v>70</v>
      </c>
    </row>
    <row r="257" ht="12.75">
      <c r="G257" s="18" t="str">
        <f>IF(ISNONTEXT('Organizacija natjecanja'!H5)=TRUE,"",'Organizacija natjecanja'!H5)</f>
        <v>Lipik, 28.04.2009.g.</v>
      </c>
    </row>
    <row r="258" ht="12.75">
      <c r="G258" s="19" t="s">
        <v>71</v>
      </c>
    </row>
    <row r="260" spans="4:8" ht="18">
      <c r="D260" s="32"/>
      <c r="E260" s="32" t="s">
        <v>72</v>
      </c>
      <c r="F260" s="32"/>
      <c r="G260" s="32"/>
      <c r="H260" s="32"/>
    </row>
    <row r="262" spans="5:8" ht="15">
      <c r="E262" s="20" t="str">
        <f>IF(ISNONTEXT('Organizacija natjecanja'!H2)=TRUE,"",'Organizacija natjecanja'!H2)</f>
        <v>KUP "BLJESAK"</v>
      </c>
      <c r="H262" s="21"/>
    </row>
    <row r="263" spans="4:8" ht="12.75">
      <c r="D263" s="7"/>
      <c r="E263" s="19" t="s">
        <v>73</v>
      </c>
      <c r="F263" s="7"/>
      <c r="G263" s="7"/>
      <c r="H263" s="7"/>
    </row>
    <row r="264" ht="12.75">
      <c r="D264" s="33"/>
    </row>
    <row r="265" spans="2:5" ht="15">
      <c r="B265" s="6" t="s">
        <v>61</v>
      </c>
      <c r="E265" s="20" t="str">
        <f>IF(ISNONTEXT('Upis rezultata C sektora'!D11)=TRUE,"",'Upis rezultata C sektora'!D11)</f>
        <v>TPK Zagreb</v>
      </c>
    </row>
    <row r="266" ht="12.75">
      <c r="E266" s="18"/>
    </row>
    <row r="267" spans="2:5" ht="12.75">
      <c r="B267" s="6" t="s">
        <v>62</v>
      </c>
      <c r="E267" s="18" t="str">
        <f>IF(ISNONTEXT('Organizacija natjecanja'!H9)=TRUE,"",'Organizacija natjecanja'!H9)</f>
        <v>SENIORI</v>
      </c>
    </row>
    <row r="269" spans="1:9" ht="12.75">
      <c r="A269" s="36"/>
      <c r="B269" s="34" t="s">
        <v>81</v>
      </c>
      <c r="C269" s="34"/>
      <c r="D269" s="35" t="s">
        <v>64</v>
      </c>
      <c r="E269" s="34"/>
      <c r="F269" s="34" t="s">
        <v>74</v>
      </c>
      <c r="G269" s="35" t="s">
        <v>65</v>
      </c>
      <c r="H269" s="34" t="s">
        <v>75</v>
      </c>
      <c r="I269" s="36"/>
    </row>
    <row r="270" spans="2:8" ht="12.75">
      <c r="B270" s="37"/>
      <c r="C270" s="38"/>
      <c r="D270" s="38"/>
      <c r="E270" s="22"/>
      <c r="F270" s="22"/>
      <c r="G270" s="22"/>
      <c r="H270" s="39"/>
    </row>
    <row r="271" spans="2:8" s="68" customFormat="1" ht="15.75">
      <c r="B271" s="89">
        <f>VLOOKUP(D271,'Upis rezultata C sektora'!$E$2:$G$13,3,0)</f>
        <v>48</v>
      </c>
      <c r="C271" s="90"/>
      <c r="D271" s="96" t="str">
        <f>IF(ISNONTEXT('Upis rezultata C sektora'!E11)=TRUE,"",'Upis rezultata C sektora'!E11)</f>
        <v>Zlatko Poparić</v>
      </c>
      <c r="E271" s="91"/>
      <c r="F271" s="92">
        <f>IF(ISNUMBER('Prijava ekipa i izvlačenje br.'!B11)=FALSE,"",'Prijava ekipa i izvlačenje br.'!B11)</f>
        <v>1</v>
      </c>
      <c r="G271" s="97" t="str">
        <f>IF((D271)="","","C")</f>
        <v>C</v>
      </c>
      <c r="H271" s="97">
        <f>IF(ISNUMBER('Upis rezultata C sektora'!C11)=FALSE,"",'Upis rezultata C sektora'!C11)</f>
        <v>10</v>
      </c>
    </row>
    <row r="272" spans="2:8" ht="12.75">
      <c r="B272" s="40"/>
      <c r="C272" s="29"/>
      <c r="D272" s="29"/>
      <c r="E272" s="25"/>
      <c r="F272" s="25"/>
      <c r="G272" s="25"/>
      <c r="H272" s="25"/>
    </row>
    <row r="274" spans="1:9" ht="12.75">
      <c r="A274" s="36"/>
      <c r="B274" s="41"/>
      <c r="C274" s="42" t="s">
        <v>76</v>
      </c>
      <c r="D274" s="43"/>
      <c r="E274" s="44" t="s">
        <v>77</v>
      </c>
      <c r="F274" s="43"/>
      <c r="G274" s="44" t="s">
        <v>78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79</v>
      </c>
      <c r="C279" s="6" t="str">
        <f>IF(ISNONTEXT('Organizacija natjecanja'!H26)=TRUE,"",'Organizacija natjecanja'!H26)</f>
        <v>Leonardo Holubek</v>
      </c>
      <c r="F279" s="6" t="s">
        <v>80</v>
      </c>
    </row>
    <row r="280" ht="12.75">
      <c r="B280" s="7"/>
    </row>
    <row r="281" ht="12.75">
      <c r="B281" s="7"/>
    </row>
    <row r="282" spans="2:3" ht="15">
      <c r="B282" s="31"/>
      <c r="C282" s="31" t="s">
        <v>70</v>
      </c>
    </row>
    <row r="283" ht="12.75">
      <c r="G283" s="18" t="str">
        <f>IF(ISNONTEXT('Organizacija natjecanja'!H5)=TRUE,"",'Organizacija natjecanja'!H5)</f>
        <v>Lipik, 28.04.2009.g.</v>
      </c>
    </row>
    <row r="284" ht="12.75">
      <c r="G284" s="19" t="s">
        <v>71</v>
      </c>
    </row>
    <row r="286" spans="4:8" ht="18">
      <c r="D286" s="32"/>
      <c r="E286" s="32" t="s">
        <v>72</v>
      </c>
      <c r="F286" s="32"/>
      <c r="G286" s="32"/>
      <c r="H286" s="32"/>
    </row>
    <row r="288" spans="5:8" ht="15">
      <c r="E288" s="20" t="str">
        <f>IF(ISNONTEXT('Organizacija natjecanja'!H2)=TRUE,"",'Organizacija natjecanja'!H2)</f>
        <v>KUP "BLJESAK"</v>
      </c>
      <c r="H288" s="21"/>
    </row>
    <row r="289" spans="4:8" ht="12.75">
      <c r="D289" s="7"/>
      <c r="E289" s="19" t="s">
        <v>73</v>
      </c>
      <c r="F289" s="7"/>
      <c r="G289" s="7"/>
      <c r="H289" s="7"/>
    </row>
    <row r="290" ht="12.75">
      <c r="D290" s="33"/>
    </row>
    <row r="291" spans="2:5" ht="15">
      <c r="B291" s="6" t="s">
        <v>69</v>
      </c>
      <c r="E291" s="20" t="str">
        <f>IF(ISNONTEXT('Upis rezultata C sektora'!D12)=TRUE,"",'Upis rezultata C sektora'!D12)</f>
        <v>Ilova Garešnica</v>
      </c>
    </row>
    <row r="292" ht="12.75">
      <c r="E292" s="18"/>
    </row>
    <row r="293" spans="2:5" ht="12.75">
      <c r="B293" s="6" t="s">
        <v>62</v>
      </c>
      <c r="E293" s="18" t="str">
        <f>IF(ISNONTEXT('Organizacija natjecanja'!H9)=TRUE,"",'Organizacija natjecanja'!H9)</f>
        <v>SENIORI</v>
      </c>
    </row>
    <row r="295" spans="1:9" ht="12.75">
      <c r="A295" s="36"/>
      <c r="B295" s="34" t="s">
        <v>63</v>
      </c>
      <c r="C295" s="34"/>
      <c r="D295" s="35" t="s">
        <v>64</v>
      </c>
      <c r="E295" s="34"/>
      <c r="F295" s="34" t="s">
        <v>74</v>
      </c>
      <c r="G295" s="35" t="s">
        <v>65</v>
      </c>
      <c r="H295" s="34" t="s">
        <v>75</v>
      </c>
      <c r="I295" s="36"/>
    </row>
    <row r="296" spans="2:8" ht="12.75">
      <c r="B296" s="37"/>
      <c r="C296" s="38"/>
      <c r="D296" s="38"/>
      <c r="E296" s="22"/>
      <c r="F296" s="22"/>
      <c r="G296" s="22"/>
      <c r="H296" s="39"/>
    </row>
    <row r="297" spans="2:8" s="68" customFormat="1" ht="15.75">
      <c r="B297" s="89">
        <f>VLOOKUP(D297,'Upis rezultata C sektora'!$E$2:$G$13,3,0)</f>
        <v>53</v>
      </c>
      <c r="C297" s="90"/>
      <c r="D297" s="96" t="str">
        <f>IF(ISNONTEXT('Upis rezultata C sektora'!E12)=TRUE,"",'Upis rezultata C sektora'!E12)</f>
        <v>Dražen Červeni</v>
      </c>
      <c r="E297" s="91"/>
      <c r="F297" s="92">
        <f>IF(ISNUMBER('Prijava ekipa i izvlačenje br.'!B12)=FALSE,"",'Prijava ekipa i izvlačenje br.'!B12)</f>
        <v>8</v>
      </c>
      <c r="G297" s="97" t="str">
        <f>IF((D297)="","","C")</f>
        <v>C</v>
      </c>
      <c r="H297" s="97">
        <f>IF(ISNUMBER('Upis rezultata C sektora'!C12)=FALSE,"",'Upis rezultata C sektora'!C12)</f>
        <v>11</v>
      </c>
    </row>
    <row r="298" spans="2:8" ht="12.75">
      <c r="B298" s="40"/>
      <c r="C298" s="29"/>
      <c r="D298" s="29"/>
      <c r="E298" s="25"/>
      <c r="F298" s="25"/>
      <c r="G298" s="25"/>
      <c r="H298" s="25"/>
    </row>
    <row r="300" spans="1:9" ht="12.75">
      <c r="A300" s="36"/>
      <c r="B300" s="41"/>
      <c r="C300" s="42" t="s">
        <v>76</v>
      </c>
      <c r="D300" s="43"/>
      <c r="E300" s="44" t="s">
        <v>77</v>
      </c>
      <c r="F300" s="43"/>
      <c r="G300" s="44" t="s">
        <v>78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79</v>
      </c>
      <c r="C305" s="6" t="str">
        <f>IF(ISNONTEXT('Organizacija natjecanja'!H26)=TRUE,"",'Organizacija natjecanja'!H26)</f>
        <v>Leonardo Holubek</v>
      </c>
      <c r="F305" s="6" t="s">
        <v>80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70</v>
      </c>
    </row>
    <row r="313" ht="12.75">
      <c r="G313" s="18" t="str">
        <f>IF(ISNONTEXT('Organizacija natjecanja'!H5)=TRUE,"",'Organizacija natjecanja'!H5)</f>
        <v>Lipik, 28.04.2009.g.</v>
      </c>
    </row>
    <row r="314" ht="12.75">
      <c r="G314" s="19" t="s">
        <v>71</v>
      </c>
    </row>
    <row r="316" spans="4:8" ht="18">
      <c r="D316" s="32"/>
      <c r="E316" s="32" t="s">
        <v>72</v>
      </c>
      <c r="F316" s="32"/>
      <c r="G316" s="32"/>
      <c r="H316" s="32"/>
    </row>
    <row r="318" spans="5:8" ht="15">
      <c r="E318" s="20" t="str">
        <f>IF(ISNONTEXT('Organizacija natjecanja'!H2)=TRUE,"",'Organizacija natjecanja'!H2)</f>
        <v>KUP "BLJESAK"</v>
      </c>
      <c r="H318" s="21"/>
    </row>
    <row r="319" spans="4:8" ht="12.75">
      <c r="D319" s="7"/>
      <c r="E319" s="19" t="s">
        <v>73</v>
      </c>
      <c r="F319" s="7"/>
      <c r="G319" s="7"/>
      <c r="H319" s="7"/>
    </row>
    <row r="320" ht="12.75">
      <c r="D320" s="33"/>
    </row>
    <row r="321" spans="2:5" ht="15">
      <c r="B321" s="6" t="s">
        <v>61</v>
      </c>
      <c r="E321" s="20" t="str">
        <f>IF(ISNONTEXT('Upis rezultata C sektora'!D13)=TRUE,"",'Upis rezultata C sektora'!D13)</f>
        <v>Jez Jasenovac</v>
      </c>
    </row>
    <row r="322" ht="12.75">
      <c r="E322" s="18"/>
    </row>
    <row r="323" spans="2:5" ht="12.75">
      <c r="B323" s="6" t="s">
        <v>62</v>
      </c>
      <c r="E323" s="18" t="str">
        <f>IF(ISNONTEXT('Organizacija natjecanja'!H9)=TRUE,"",'Organizacija natjecanja'!H9)</f>
        <v>SENIORI</v>
      </c>
    </row>
    <row r="325" spans="1:9" ht="12.75">
      <c r="A325" s="36"/>
      <c r="B325" s="34" t="s">
        <v>81</v>
      </c>
      <c r="C325" s="34"/>
      <c r="D325" s="35" t="s">
        <v>64</v>
      </c>
      <c r="E325" s="34"/>
      <c r="F325" s="34" t="s">
        <v>74</v>
      </c>
      <c r="G325" s="35" t="s">
        <v>65</v>
      </c>
      <c r="H325" s="34" t="s">
        <v>75</v>
      </c>
      <c r="I325" s="36"/>
    </row>
    <row r="326" spans="2:8" ht="12.75">
      <c r="B326" s="37"/>
      <c r="C326" s="38"/>
      <c r="D326" s="38"/>
      <c r="E326" s="22"/>
      <c r="F326" s="22"/>
      <c r="G326" s="22"/>
      <c r="H326" s="39"/>
    </row>
    <row r="327" spans="2:8" s="68" customFormat="1" ht="15.75">
      <c r="B327" s="89">
        <f>VLOOKUP(D327,'Upis rezultata C sektora'!$E$2:$G$13,3,0)</f>
        <v>58</v>
      </c>
      <c r="C327" s="90"/>
      <c r="D327" s="96" t="str">
        <f>IF(ISNONTEXT('Upis rezultata C sektora'!E13)=TRUE,"",'Upis rezultata C sektora'!E13)</f>
        <v>Siniša Finek</v>
      </c>
      <c r="E327" s="91"/>
      <c r="F327" s="92">
        <f>IF(ISNUMBER('Prijava ekipa i izvlačenje br.'!B13)=FALSE,"",'Prijava ekipa i izvlačenje br.'!B13)</f>
        <v>12</v>
      </c>
      <c r="G327" s="97" t="str">
        <f>IF((D327)="","","C")</f>
        <v>C</v>
      </c>
      <c r="H327" s="97">
        <f>IF(ISNUMBER('Upis rezultata C sektora'!C13)=FALSE,"",'Upis rezultata C sektora'!C13)</f>
        <v>12</v>
      </c>
    </row>
    <row r="328" spans="2:8" ht="12.75">
      <c r="B328" s="40"/>
      <c r="C328" s="29"/>
      <c r="D328" s="29"/>
      <c r="E328" s="25"/>
      <c r="F328" s="25"/>
      <c r="G328" s="25"/>
      <c r="H328" s="25"/>
    </row>
    <row r="330" spans="1:9" ht="12.75">
      <c r="A330" s="36"/>
      <c r="B330" s="41"/>
      <c r="C330" s="42" t="s">
        <v>76</v>
      </c>
      <c r="D330" s="43"/>
      <c r="E330" s="44" t="s">
        <v>77</v>
      </c>
      <c r="F330" s="43"/>
      <c r="G330" s="44" t="s">
        <v>78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79</v>
      </c>
      <c r="C335" s="6" t="str">
        <f>IF(ISNONTEXT('Organizacija natjecanja'!H26)=TRUE,"",'Organizacija natjecanja'!H26)</f>
        <v>Leonardo Holubek</v>
      </c>
      <c r="F335" s="6" t="s">
        <v>80</v>
      </c>
    </row>
    <row r="336" ht="12.75">
      <c r="B336" s="7"/>
    </row>
  </sheetData>
  <sheetProtection password="C7E2" sheet="1" objects="1" scenarios="1"/>
  <printOptions/>
  <pageMargins left="0.7874015748031497" right="0.7874015748031497" top="0.75" bottom="0.79" header="0.66" footer="0.4724409448818898"/>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8.xml><?xml version="1.0" encoding="utf-8"?>
<worksheet xmlns="http://schemas.openxmlformats.org/spreadsheetml/2006/main" xmlns:r="http://schemas.openxmlformats.org/officeDocument/2006/relationships">
  <sheetPr codeName="Sheet14">
    <tabColor indexed="11"/>
  </sheetPr>
  <dimension ref="A2:I336"/>
  <sheetViews>
    <sheetView showGridLines="0" showRowColHeaders="0" zoomScalePageLayoutView="0" workbookViewId="0" topLeftCell="A1">
      <selection activeCell="K22" sqref="K22"/>
    </sheetView>
  </sheetViews>
  <sheetFormatPr defaultColWidth="9.140625" defaultRowHeight="12.75"/>
  <cols>
    <col min="1" max="16384" width="9.140625" style="6" customWidth="1"/>
  </cols>
  <sheetData>
    <row r="2" spans="2:8" ht="15">
      <c r="B2" s="31"/>
      <c r="C2" s="31" t="s">
        <v>70</v>
      </c>
      <c r="H2" s="8"/>
    </row>
    <row r="3" ht="12.75">
      <c r="G3" s="18" t="str">
        <f>IF(ISNONTEXT('Organizacija natjecanja'!H5)=TRUE,"",'Organizacija natjecanja'!H5)</f>
        <v>Lipik, 28.04.2009.g.</v>
      </c>
    </row>
    <row r="4" ht="12.75">
      <c r="G4" s="19" t="s">
        <v>71</v>
      </c>
    </row>
    <row r="5" ht="12.75">
      <c r="H5" s="8"/>
    </row>
    <row r="6" spans="4:8" ht="18">
      <c r="D6" s="32"/>
      <c r="E6" s="32" t="s">
        <v>72</v>
      </c>
      <c r="F6" s="32"/>
      <c r="G6" s="32"/>
      <c r="H6" s="32"/>
    </row>
    <row r="8" spans="5:8" ht="15">
      <c r="E8" s="20" t="str">
        <f>IF(ISNONTEXT('Organizacija natjecanja'!H2)=TRUE,"",'Organizacija natjecanja'!H2)</f>
        <v>KUP "BLJESAK"</v>
      </c>
      <c r="H8" s="21"/>
    </row>
    <row r="9" spans="4:8" ht="12.75">
      <c r="D9" s="7"/>
      <c r="E9" s="19" t="s">
        <v>73</v>
      </c>
      <c r="F9" s="7"/>
      <c r="G9" s="7"/>
      <c r="H9" s="7"/>
    </row>
    <row r="10" ht="12.75">
      <c r="D10" s="33"/>
    </row>
    <row r="11" spans="2:5" ht="15">
      <c r="B11" s="6" t="s">
        <v>69</v>
      </c>
      <c r="E11" s="20" t="str">
        <f>IF(ISNONTEXT('Upis rezultata C sektora'!D2)=TRUE,"",'Upis rezultata C sektora'!D2)</f>
        <v>Korana Karlovac</v>
      </c>
    </row>
    <row r="12" ht="12.75">
      <c r="E12" s="18"/>
    </row>
    <row r="13" spans="2:5" ht="12.75">
      <c r="B13" s="6" t="s">
        <v>62</v>
      </c>
      <c r="E13" s="18" t="str">
        <f>IF(ISNONTEXT('Organizacija natjecanja'!H9)=TRUE,"",'Organizacija natjecanja'!H9)</f>
        <v>SENIORI</v>
      </c>
    </row>
    <row r="15" spans="2:8" s="36" customFormat="1" ht="12">
      <c r="B15" s="34" t="s">
        <v>63</v>
      </c>
      <c r="C15" s="34"/>
      <c r="D15" s="35" t="s">
        <v>64</v>
      </c>
      <c r="E15" s="34"/>
      <c r="F15" s="34" t="s">
        <v>74</v>
      </c>
      <c r="G15" s="35" t="s">
        <v>65</v>
      </c>
      <c r="H15" s="34" t="s">
        <v>75</v>
      </c>
    </row>
    <row r="16" spans="2:8" ht="12.75">
      <c r="B16" s="37"/>
      <c r="C16" s="38"/>
      <c r="D16" s="38"/>
      <c r="E16" s="22"/>
      <c r="F16" s="22"/>
      <c r="G16" s="22"/>
      <c r="H16" s="39"/>
    </row>
    <row r="17" spans="2:8" s="68" customFormat="1" ht="15.75">
      <c r="B17" s="89">
        <f>VLOOKUP(D17,'Upis rezultata D sektora'!$E$2:$G$13,3,0)</f>
        <v>4</v>
      </c>
      <c r="C17" s="90"/>
      <c r="D17" s="96" t="str">
        <f>IF(ISNONTEXT('Upis rezultata D sektora'!E2)=TRUE,"",'Upis rezultata D sektora'!E2)</f>
        <v>Damir Jauševac</v>
      </c>
      <c r="E17" s="91"/>
      <c r="F17" s="92">
        <f>IF(ISNUMBER('Prijava ekipa i izvlačenje br.'!B2)=FALSE,"",'Prijava ekipa i izvlačenje br.'!B2)</f>
        <v>3</v>
      </c>
      <c r="G17" s="97" t="str">
        <f>IF((D17)="","","D")</f>
        <v>D</v>
      </c>
      <c r="H17" s="97">
        <f>IF(ISNUMBER('Upis rezultata D sektora'!C2)=FALSE,"",'Upis rezultata D sektora'!C2)</f>
        <v>1</v>
      </c>
    </row>
    <row r="18" spans="2:8" ht="12.75">
      <c r="B18" s="40"/>
      <c r="C18" s="29"/>
      <c r="D18" s="29"/>
      <c r="E18" s="25"/>
      <c r="F18" s="25"/>
      <c r="G18" s="25"/>
      <c r="H18" s="25"/>
    </row>
    <row r="20" spans="2:8" s="36" customFormat="1" ht="12">
      <c r="B20" s="41"/>
      <c r="C20" s="42" t="s">
        <v>76</v>
      </c>
      <c r="D20" s="43"/>
      <c r="E20" s="44" t="s">
        <v>77</v>
      </c>
      <c r="F20" s="43"/>
      <c r="G20" s="44" t="s">
        <v>78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79</v>
      </c>
      <c r="C25" s="6" t="str">
        <f>IF(ISNONTEXT('Organizacija natjecanja'!H28)=TRUE,"",'Organizacija natjecanja'!H28)</f>
        <v>Dražen Sertić</v>
      </c>
      <c r="F25" s="6" t="s">
        <v>80</v>
      </c>
    </row>
    <row r="26" ht="12.75">
      <c r="B26" s="7"/>
    </row>
    <row r="27" ht="12.75">
      <c r="B27" s="7"/>
    </row>
    <row r="28" ht="12.75">
      <c r="B28" s="7"/>
    </row>
    <row r="29" ht="12.75">
      <c r="B29" s="7"/>
    </row>
    <row r="30" spans="1:9" ht="12.75" customHeight="1">
      <c r="A30" s="30"/>
      <c r="B30" s="46"/>
      <c r="C30" s="30"/>
      <c r="D30" s="30"/>
      <c r="E30" s="30"/>
      <c r="F30" s="30"/>
      <c r="G30" s="30"/>
      <c r="H30" s="30"/>
      <c r="I30" s="30"/>
    </row>
    <row r="32" spans="2:3" ht="15">
      <c r="B32" s="31"/>
      <c r="C32" s="31" t="s">
        <v>70</v>
      </c>
    </row>
    <row r="33" ht="12.75">
      <c r="G33" s="18" t="str">
        <f>IF(ISNONTEXT('Organizacija natjecanja'!H5)=TRUE,"",'Organizacija natjecanja'!H5)</f>
        <v>Lipik, 28.04.2009.g.</v>
      </c>
    </row>
    <row r="34" ht="12.75">
      <c r="G34" s="19" t="s">
        <v>71</v>
      </c>
    </row>
    <row r="36" spans="4:8" ht="18">
      <c r="D36" s="32"/>
      <c r="E36" s="32" t="s">
        <v>72</v>
      </c>
      <c r="F36" s="32"/>
      <c r="G36" s="32"/>
      <c r="H36" s="32"/>
    </row>
    <row r="38" spans="5:8" ht="15">
      <c r="E38" s="20" t="str">
        <f>IF(ISNONTEXT('Organizacija natjecanja'!H2)=TRUE,"",'Organizacija natjecanja'!H2)</f>
        <v>KUP "BLJESAK"</v>
      </c>
      <c r="H38" s="21"/>
    </row>
    <row r="39" spans="4:8" ht="12.75">
      <c r="D39" s="7"/>
      <c r="E39" s="19" t="s">
        <v>73</v>
      </c>
      <c r="F39" s="7"/>
      <c r="G39" s="7"/>
      <c r="H39" s="7"/>
    </row>
    <row r="40" ht="12.75">
      <c r="D40" s="33"/>
    </row>
    <row r="41" spans="2:5" ht="15">
      <c r="B41" s="6" t="s">
        <v>61</v>
      </c>
      <c r="E41" s="20" t="str">
        <f>IF(ISNONTEXT('Upis rezultata C sektora'!D3)=TRUE,"",'Upis rezultata C sektora'!D3)</f>
        <v>Štuka Torčec</v>
      </c>
    </row>
    <row r="42" ht="12.75">
      <c r="E42" s="18"/>
    </row>
    <row r="43" spans="2:5" ht="12.75">
      <c r="B43" s="6" t="s">
        <v>62</v>
      </c>
      <c r="E43" s="18" t="str">
        <f>IF(ISNONTEXT('Organizacija natjecanja'!H9)=TRUE,"",'Organizacija natjecanja'!H9)</f>
        <v>SENIORI</v>
      </c>
    </row>
    <row r="45" spans="2:8" s="36" customFormat="1" ht="12">
      <c r="B45" s="34" t="s">
        <v>81</v>
      </c>
      <c r="C45" s="34"/>
      <c r="D45" s="35" t="s">
        <v>64</v>
      </c>
      <c r="E45" s="34"/>
      <c r="F45" s="34" t="s">
        <v>74</v>
      </c>
      <c r="G45" s="35" t="s">
        <v>65</v>
      </c>
      <c r="H45" s="34" t="s">
        <v>75</v>
      </c>
    </row>
    <row r="46" spans="2:8" ht="12.75">
      <c r="B46" s="37"/>
      <c r="C46" s="38"/>
      <c r="D46" s="38"/>
      <c r="E46" s="22"/>
      <c r="F46" s="22"/>
      <c r="G46" s="22"/>
      <c r="H46" s="39"/>
    </row>
    <row r="47" spans="2:8" s="68" customFormat="1" ht="15.75">
      <c r="B47" s="89">
        <f>VLOOKUP(D47,'Upis rezultata D sektora'!$E$2:$G$13,3,0)</f>
        <v>9</v>
      </c>
      <c r="C47" s="90"/>
      <c r="D47" s="96" t="str">
        <f>IF(ISNONTEXT('Upis rezultata D sektora'!E3)=TRUE,"",'Upis rezultata D sektora'!E3)</f>
        <v>Hrvoje Horvat</v>
      </c>
      <c r="E47" s="91"/>
      <c r="F47" s="92">
        <f>IF(ISNUMBER('Prijava ekipa i izvlačenje br.'!B3)=FALSE,"",'Prijava ekipa i izvlačenje br.'!B3)</f>
        <v>7</v>
      </c>
      <c r="G47" s="97" t="str">
        <f>IF((D47)="","","D")</f>
        <v>D</v>
      </c>
      <c r="H47" s="97">
        <f>IF(ISNUMBER('Upis rezultata D sektora'!C3)=FALSE,"",'Upis rezultata D sektora'!C3)</f>
        <v>2</v>
      </c>
    </row>
    <row r="48" spans="2:8" ht="12.75">
      <c r="B48" s="40"/>
      <c r="C48" s="29"/>
      <c r="D48" s="29"/>
      <c r="E48" s="25"/>
      <c r="F48" s="25"/>
      <c r="G48" s="25"/>
      <c r="H48" s="25"/>
    </row>
    <row r="50" spans="2:8" s="36" customFormat="1" ht="12">
      <c r="B50" s="41"/>
      <c r="C50" s="42" t="s">
        <v>76</v>
      </c>
      <c r="D50" s="43"/>
      <c r="E50" s="44" t="s">
        <v>77</v>
      </c>
      <c r="F50" s="43"/>
      <c r="G50" s="44" t="s">
        <v>78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79</v>
      </c>
      <c r="C55" s="6" t="str">
        <f>IF(ISNONTEXT('Organizacija natjecanja'!H28)=TRUE,"",'Organizacija natjecanja'!H28)</f>
        <v>Dražen Sertić</v>
      </c>
      <c r="F55" s="6" t="s">
        <v>80</v>
      </c>
    </row>
    <row r="56" ht="12.75">
      <c r="B56" s="7"/>
    </row>
    <row r="57" ht="12.75">
      <c r="B57" s="7"/>
    </row>
    <row r="58" spans="2:3" ht="15">
      <c r="B58" s="31"/>
      <c r="C58" s="31" t="s">
        <v>70</v>
      </c>
    </row>
    <row r="59" ht="12.75">
      <c r="G59" s="18" t="str">
        <f>IF(ISNONTEXT('Organizacija natjecanja'!H5)=TRUE,"",'Organizacija natjecanja'!H5)</f>
        <v>Lipik, 28.04.2009.g.</v>
      </c>
    </row>
    <row r="60" ht="12.75">
      <c r="G60" s="19" t="s">
        <v>71</v>
      </c>
    </row>
    <row r="62" spans="4:8" ht="18">
      <c r="D62" s="32"/>
      <c r="E62" s="32" t="s">
        <v>72</v>
      </c>
      <c r="F62" s="32"/>
      <c r="G62" s="32"/>
      <c r="H62" s="32"/>
    </row>
    <row r="64" spans="5:8" ht="15">
      <c r="E64" s="20" t="str">
        <f>IF(ISNONTEXT('Organizacija natjecanja'!H2)=TRUE,"",'Organizacija natjecanja'!H2)</f>
        <v>KUP "BLJESAK"</v>
      </c>
      <c r="H64" s="21"/>
    </row>
    <row r="65" spans="4:8" ht="12.75">
      <c r="D65" s="7"/>
      <c r="E65" s="19" t="s">
        <v>73</v>
      </c>
      <c r="F65" s="7"/>
      <c r="G65" s="7"/>
      <c r="H65" s="7"/>
    </row>
    <row r="66" ht="12.75">
      <c r="D66" s="33"/>
    </row>
    <row r="67" spans="2:5" ht="15">
      <c r="B67" s="6" t="s">
        <v>69</v>
      </c>
      <c r="E67" s="20" t="str">
        <f>IF(ISNONTEXT('Upis rezultata C sektora'!D4)=TRUE,"",'Upis rezultata C sektora'!D4)</f>
        <v>Rak Rakitje</v>
      </c>
    </row>
    <row r="68" ht="12.75">
      <c r="E68" s="18"/>
    </row>
    <row r="69" spans="2:5" ht="12.75">
      <c r="B69" s="6" t="s">
        <v>62</v>
      </c>
      <c r="E69" s="18" t="str">
        <f>IF(ISNONTEXT('Organizacija natjecanja'!H9)=TRUE,"",'Organizacija natjecanja'!H9)</f>
        <v>SENIORI</v>
      </c>
    </row>
    <row r="71" spans="1:9" ht="12.75">
      <c r="A71" s="36"/>
      <c r="B71" s="34" t="s">
        <v>63</v>
      </c>
      <c r="C71" s="34"/>
      <c r="D71" s="35" t="s">
        <v>64</v>
      </c>
      <c r="E71" s="34"/>
      <c r="F71" s="34" t="s">
        <v>74</v>
      </c>
      <c r="G71" s="35" t="s">
        <v>65</v>
      </c>
      <c r="H71" s="34" t="s">
        <v>75</v>
      </c>
      <c r="I71" s="36"/>
    </row>
    <row r="72" spans="2:8" ht="12.75">
      <c r="B72" s="37"/>
      <c r="C72" s="38"/>
      <c r="D72" s="38"/>
      <c r="E72" s="22"/>
      <c r="F72" s="22"/>
      <c r="G72" s="22"/>
      <c r="H72" s="39"/>
    </row>
    <row r="73" spans="2:8" s="68" customFormat="1" ht="15.75">
      <c r="B73" s="89">
        <f>VLOOKUP(D73,'Upis rezultata D sektora'!$E$2:$G$13,3,0)</f>
        <v>14</v>
      </c>
      <c r="C73" s="90"/>
      <c r="D73" s="96" t="str">
        <f>IF(ISNONTEXT('Upis rezultata D sektora'!E4)=TRUE,"",'Upis rezultata D sektora'!E4)</f>
        <v>Zlatko Novačić</v>
      </c>
      <c r="E73" s="91"/>
      <c r="F73" s="92">
        <f>IF(ISNUMBER('Prijava ekipa i izvlačenje br.'!B4)=FALSE,"",'Prijava ekipa i izvlačenje br.'!B4)</f>
        <v>9</v>
      </c>
      <c r="G73" s="97" t="str">
        <f>IF((D73)="","","D")</f>
        <v>D</v>
      </c>
      <c r="H73" s="97">
        <f>IF(ISNUMBER('Upis rezultata D sektora'!C4)=FALSE,"",'Upis rezultata D sektora'!C4)</f>
        <v>3</v>
      </c>
    </row>
    <row r="74" spans="2:8" ht="12.75">
      <c r="B74" s="40"/>
      <c r="C74" s="29"/>
      <c r="D74" s="29"/>
      <c r="E74" s="25"/>
      <c r="F74" s="25"/>
      <c r="G74" s="25"/>
      <c r="H74" s="25"/>
    </row>
    <row r="76" spans="1:9" ht="12.75">
      <c r="A76" s="36"/>
      <c r="B76" s="41"/>
      <c r="C76" s="42" t="s">
        <v>76</v>
      </c>
      <c r="D76" s="43"/>
      <c r="E76" s="44" t="s">
        <v>77</v>
      </c>
      <c r="F76" s="43"/>
      <c r="G76" s="44" t="s">
        <v>78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79</v>
      </c>
      <c r="C81" s="6" t="str">
        <f>IF(ISNONTEXT('Organizacija natjecanja'!H28)=TRUE,"",'Organizacija natjecanja'!H28)</f>
        <v>Dražen Sertić</v>
      </c>
      <c r="F81" s="6" t="s">
        <v>80</v>
      </c>
    </row>
    <row r="82" ht="12.75">
      <c r="B82" s="7"/>
    </row>
    <row r="83" ht="12.75">
      <c r="B83" s="7"/>
    </row>
    <row r="84" ht="12.75">
      <c r="B84" s="7"/>
    </row>
    <row r="85" ht="12.75">
      <c r="B85" s="7"/>
    </row>
    <row r="86" spans="1:9" ht="12.75">
      <c r="A86" s="30"/>
      <c r="B86" s="46"/>
      <c r="C86" s="30"/>
      <c r="D86" s="30"/>
      <c r="E86" s="30"/>
      <c r="F86" s="30"/>
      <c r="G86" s="30"/>
      <c r="H86" s="30"/>
      <c r="I86" s="30"/>
    </row>
    <row r="88" spans="2:3" ht="15">
      <c r="B88" s="31"/>
      <c r="C88" s="31" t="s">
        <v>70</v>
      </c>
    </row>
    <row r="89" ht="12.75">
      <c r="G89" s="18" t="str">
        <f>IF(ISNONTEXT('Organizacija natjecanja'!H5)=TRUE,"",'Organizacija natjecanja'!H5)</f>
        <v>Lipik, 28.04.2009.g.</v>
      </c>
    </row>
    <row r="90" ht="12.75">
      <c r="G90" s="19" t="s">
        <v>71</v>
      </c>
    </row>
    <row r="92" spans="4:8" ht="18">
      <c r="D92" s="32"/>
      <c r="E92" s="32" t="s">
        <v>72</v>
      </c>
      <c r="F92" s="32"/>
      <c r="G92" s="32"/>
      <c r="H92" s="32"/>
    </row>
    <row r="94" spans="5:8" ht="15">
      <c r="E94" s="20" t="str">
        <f>IF(ISNONTEXT('Organizacija natjecanja'!H2)=TRUE,"",'Organizacija natjecanja'!H2)</f>
        <v>KUP "BLJESAK"</v>
      </c>
      <c r="H94" s="21"/>
    </row>
    <row r="95" spans="4:8" ht="12.75">
      <c r="D95" s="7"/>
      <c r="E95" s="19" t="s">
        <v>73</v>
      </c>
      <c r="F95" s="7"/>
      <c r="G95" s="7"/>
      <c r="H95" s="7"/>
    </row>
    <row r="96" ht="12.75">
      <c r="D96" s="33"/>
    </row>
    <row r="97" spans="2:5" ht="15">
      <c r="B97" s="6" t="s">
        <v>61</v>
      </c>
      <c r="E97" s="20" t="str">
        <f>IF(ISNONTEXT('Upis rezultata C sektora'!D5)=TRUE,"",'Upis rezultata C sektora'!D5)</f>
        <v>Bjelovar Bjelovar</v>
      </c>
    </row>
    <row r="98" ht="12.75">
      <c r="E98" s="18"/>
    </row>
    <row r="99" spans="2:5" ht="12.75">
      <c r="B99" s="6" t="s">
        <v>62</v>
      </c>
      <c r="E99" s="18" t="str">
        <f>IF(ISNONTEXT('Organizacija natjecanja'!H9)=TRUE,"",'Organizacija natjecanja'!H9)</f>
        <v>SENIORI</v>
      </c>
    </row>
    <row r="101" spans="1:9" ht="12.75">
      <c r="A101" s="36"/>
      <c r="B101" s="34" t="s">
        <v>81</v>
      </c>
      <c r="C101" s="34"/>
      <c r="D101" s="35" t="s">
        <v>64</v>
      </c>
      <c r="E101" s="34"/>
      <c r="F101" s="34" t="s">
        <v>74</v>
      </c>
      <c r="G101" s="35" t="s">
        <v>65</v>
      </c>
      <c r="H101" s="34" t="s">
        <v>75</v>
      </c>
      <c r="I101" s="36"/>
    </row>
    <row r="102" spans="2:8" ht="12.75">
      <c r="B102" s="37"/>
      <c r="C102" s="38"/>
      <c r="D102" s="38"/>
      <c r="E102" s="22"/>
      <c r="F102" s="22"/>
      <c r="G102" s="22"/>
      <c r="H102" s="39"/>
    </row>
    <row r="103" spans="2:8" s="68" customFormat="1" ht="15.75">
      <c r="B103" s="89">
        <f>VLOOKUP(D103,'Upis rezultata D sektora'!$E$2:$G$13,3,0)</f>
        <v>19</v>
      </c>
      <c r="C103" s="90"/>
      <c r="D103" s="96" t="str">
        <f>IF(ISNONTEXT('Upis rezultata D sektora'!E5)=TRUE,"",'Upis rezultata D sektora'!E5)</f>
        <v>Marijan Jurić</v>
      </c>
      <c r="E103" s="91"/>
      <c r="F103" s="92">
        <f>IF(ISNUMBER('Prijava ekipa i izvlačenje br.'!B5)=FALSE,"",'Prijava ekipa i izvlačenje br.'!B5)</f>
        <v>11</v>
      </c>
      <c r="G103" s="97" t="str">
        <f>IF((D103)="","","D")</f>
        <v>D</v>
      </c>
      <c r="H103" s="97">
        <f>IF(ISNUMBER('Upis rezultata D sektora'!C5)=FALSE,"",'Upis rezultata D sektora'!C5)</f>
        <v>4</v>
      </c>
    </row>
    <row r="104" spans="2:8" ht="12.75">
      <c r="B104" s="40"/>
      <c r="C104" s="29"/>
      <c r="D104" s="29"/>
      <c r="E104" s="25"/>
      <c r="F104" s="25"/>
      <c r="G104" s="25"/>
      <c r="H104" s="25"/>
    </row>
    <row r="106" spans="1:9" ht="12.75">
      <c r="A106" s="36"/>
      <c r="B106" s="41"/>
      <c r="C106" s="42" t="s">
        <v>76</v>
      </c>
      <c r="D106" s="43"/>
      <c r="E106" s="44" t="s">
        <v>77</v>
      </c>
      <c r="F106" s="43"/>
      <c r="G106" s="44" t="s">
        <v>78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79</v>
      </c>
      <c r="C111" s="6" t="str">
        <f>IF(ISNONTEXT('Organizacija natjecanja'!H28)=TRUE,"",'Organizacija natjecanja'!H28)</f>
        <v>Dražen Sertić</v>
      </c>
      <c r="F111" s="6" t="s">
        <v>80</v>
      </c>
    </row>
    <row r="112" ht="12.75">
      <c r="B112" s="7"/>
    </row>
    <row r="113" ht="12.75">
      <c r="B113" s="7"/>
    </row>
    <row r="114" spans="2:3" ht="15">
      <c r="B114" s="31"/>
      <c r="C114" s="31" t="s">
        <v>70</v>
      </c>
    </row>
    <row r="115" ht="12.75">
      <c r="G115" s="18" t="str">
        <f>IF(ISNONTEXT('Organizacija natjecanja'!H5)=TRUE,"",'Organizacija natjecanja'!H5)</f>
        <v>Lipik, 28.04.2009.g.</v>
      </c>
    </row>
    <row r="116" ht="12.75">
      <c r="G116" s="19" t="s">
        <v>71</v>
      </c>
    </row>
    <row r="118" spans="4:8" ht="18">
      <c r="D118" s="32"/>
      <c r="E118" s="32" t="s">
        <v>72</v>
      </c>
      <c r="F118" s="32"/>
      <c r="G118" s="32"/>
      <c r="H118" s="32"/>
    </row>
    <row r="120" spans="5:8" ht="15">
      <c r="E120" s="20" t="str">
        <f>IF(ISNONTEXT('Organizacija natjecanja'!H2)=TRUE,"",'Organizacija natjecanja'!H2)</f>
        <v>KUP "BLJESAK"</v>
      </c>
      <c r="H120" s="21"/>
    </row>
    <row r="121" spans="4:8" ht="12.75">
      <c r="D121" s="7"/>
      <c r="E121" s="19" t="s">
        <v>73</v>
      </c>
      <c r="F121" s="7"/>
      <c r="G121" s="7"/>
      <c r="H121" s="7"/>
    </row>
    <row r="122" ht="12.75">
      <c r="D122" s="33"/>
    </row>
    <row r="123" spans="2:5" ht="15">
      <c r="B123" s="6" t="s">
        <v>69</v>
      </c>
      <c r="E123" s="20" t="str">
        <f>IF(ISNONTEXT('Upis rezultata C sektora'!D6)=TRUE,"",'Upis rezultata C sektora'!D6)</f>
        <v>Varaždin Varaždin</v>
      </c>
    </row>
    <row r="124" ht="12.75">
      <c r="E124" s="18"/>
    </row>
    <row r="125" spans="2:5" ht="12.75">
      <c r="B125" s="6" t="s">
        <v>62</v>
      </c>
      <c r="E125" s="18" t="str">
        <f>IF(ISNONTEXT('Organizacija natjecanja'!H9)=TRUE,"",'Organizacija natjecanja'!H9)</f>
        <v>SENIORI</v>
      </c>
    </row>
    <row r="127" spans="1:9" ht="12.75">
      <c r="A127" s="36"/>
      <c r="B127" s="34" t="s">
        <v>63</v>
      </c>
      <c r="C127" s="34"/>
      <c r="D127" s="35" t="s">
        <v>64</v>
      </c>
      <c r="E127" s="34"/>
      <c r="F127" s="34" t="s">
        <v>74</v>
      </c>
      <c r="G127" s="35" t="s">
        <v>65</v>
      </c>
      <c r="H127" s="34" t="s">
        <v>75</v>
      </c>
      <c r="I127" s="36"/>
    </row>
    <row r="128" spans="2:8" ht="12.75">
      <c r="B128" s="37"/>
      <c r="C128" s="38"/>
      <c r="D128" s="38"/>
      <c r="E128" s="22"/>
      <c r="F128" s="22"/>
      <c r="G128" s="22"/>
      <c r="H128" s="39"/>
    </row>
    <row r="129" spans="2:8" s="68" customFormat="1" ht="15.75">
      <c r="B129" s="89">
        <f>VLOOKUP(D129,'Upis rezultata D sektora'!$E$2:$G$13,3,0)</f>
        <v>24</v>
      </c>
      <c r="C129" s="90"/>
      <c r="D129" s="96" t="str">
        <f>IF(ISNONTEXT('Upis rezultata D sektora'!E6)=TRUE,"",'Upis rezultata D sektora'!E6)</f>
        <v>Damir Škorić</v>
      </c>
      <c r="E129" s="91"/>
      <c r="F129" s="92">
        <f>IF(ISNUMBER('Prijava ekipa i izvlačenje br.'!B6)=FALSE,"",'Prijava ekipa i izvlačenje br.'!B6)</f>
        <v>10</v>
      </c>
      <c r="G129" s="97" t="str">
        <f>IF((D129)="","","D")</f>
        <v>D</v>
      </c>
      <c r="H129" s="97">
        <f>IF(ISNUMBER('Upis rezultata D sektora'!C6)=FALSE,"",'Upis rezultata D sektora'!C6)</f>
        <v>5</v>
      </c>
    </row>
    <row r="130" spans="2:8" ht="12.75">
      <c r="B130" s="40"/>
      <c r="C130" s="29"/>
      <c r="D130" s="29"/>
      <c r="E130" s="25"/>
      <c r="F130" s="25"/>
      <c r="G130" s="25"/>
      <c r="H130" s="25"/>
    </row>
    <row r="132" spans="1:9" ht="12.75">
      <c r="A132" s="36"/>
      <c r="B132" s="41"/>
      <c r="C132" s="42" t="s">
        <v>76</v>
      </c>
      <c r="D132" s="43"/>
      <c r="E132" s="44" t="s">
        <v>77</v>
      </c>
      <c r="F132" s="43"/>
      <c r="G132" s="44" t="s">
        <v>78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79</v>
      </c>
      <c r="C137" s="6" t="str">
        <f>IF(ISNONTEXT('Organizacija natjecanja'!H28)=TRUE,"",'Organizacija natjecanja'!H28)</f>
        <v>Dražen Sertić</v>
      </c>
      <c r="F137" s="6" t="s">
        <v>80</v>
      </c>
    </row>
    <row r="138" ht="12.75">
      <c r="B138" s="7"/>
    </row>
    <row r="139" ht="12.75">
      <c r="B139" s="7"/>
    </row>
    <row r="140" ht="12.75">
      <c r="B140" s="7"/>
    </row>
    <row r="141" ht="12.75">
      <c r="B141" s="7"/>
    </row>
    <row r="142" spans="1:9" ht="12.75">
      <c r="A142" s="30"/>
      <c r="B142" s="46"/>
      <c r="C142" s="30"/>
      <c r="D142" s="30"/>
      <c r="E142" s="30"/>
      <c r="F142" s="30"/>
      <c r="G142" s="30"/>
      <c r="H142" s="30"/>
      <c r="I142" s="30"/>
    </row>
    <row r="144" spans="2:3" ht="15">
      <c r="B144" s="31"/>
      <c r="C144" s="31" t="s">
        <v>70</v>
      </c>
    </row>
    <row r="145" ht="12.75">
      <c r="G145" s="18" t="str">
        <f>IF(ISNONTEXT('Organizacija natjecanja'!H5)=TRUE,"",'Organizacija natjecanja'!H5)</f>
        <v>Lipik, 28.04.2009.g.</v>
      </c>
    </row>
    <row r="146" ht="12.75">
      <c r="G146" s="19" t="s">
        <v>71</v>
      </c>
    </row>
    <row r="148" spans="4:8" ht="18">
      <c r="D148" s="32"/>
      <c r="E148" s="32" t="s">
        <v>72</v>
      </c>
      <c r="F148" s="32"/>
      <c r="G148" s="32"/>
      <c r="H148" s="32"/>
    </row>
    <row r="150" spans="5:8" ht="15">
      <c r="E150" s="20" t="str">
        <f>IF(ISNONTEXT('Organizacija natjecanja'!H2)=TRUE,"",'Organizacija natjecanja'!H2)</f>
        <v>KUP "BLJESAK"</v>
      </c>
      <c r="H150" s="21"/>
    </row>
    <row r="151" spans="4:8" ht="12.75">
      <c r="D151" s="7"/>
      <c r="E151" s="19" t="s">
        <v>73</v>
      </c>
      <c r="F151" s="7"/>
      <c r="G151" s="7"/>
      <c r="H151" s="7"/>
    </row>
    <row r="152" ht="12.75">
      <c r="D152" s="33"/>
    </row>
    <row r="153" spans="2:5" ht="15">
      <c r="B153" s="6" t="s">
        <v>61</v>
      </c>
      <c r="E153" s="20" t="str">
        <f>IF(ISNONTEXT('Upis rezultata C sektora'!D7)=TRUE,"",'Upis rezultata C sektora'!D7)</f>
        <v>Azzuro Varaždin</v>
      </c>
    </row>
    <row r="154" ht="12.75">
      <c r="E154" s="18"/>
    </row>
    <row r="155" spans="2:5" ht="12.75">
      <c r="B155" s="6" t="s">
        <v>62</v>
      </c>
      <c r="E155" s="18" t="str">
        <f>IF(ISNONTEXT('Organizacija natjecanja'!H9)=TRUE,"",'Organizacija natjecanja'!H9)</f>
        <v>SENIORI</v>
      </c>
    </row>
    <row r="157" spans="1:9" ht="12.75">
      <c r="A157" s="36"/>
      <c r="B157" s="34" t="s">
        <v>81</v>
      </c>
      <c r="C157" s="34"/>
      <c r="D157" s="35" t="s">
        <v>64</v>
      </c>
      <c r="E157" s="34"/>
      <c r="F157" s="34" t="s">
        <v>74</v>
      </c>
      <c r="G157" s="35" t="s">
        <v>65</v>
      </c>
      <c r="H157" s="34" t="s">
        <v>75</v>
      </c>
      <c r="I157" s="36"/>
    </row>
    <row r="158" spans="2:8" ht="12.75">
      <c r="B158" s="37"/>
      <c r="C158" s="38"/>
      <c r="D158" s="38"/>
      <c r="E158" s="22"/>
      <c r="F158" s="22"/>
      <c r="G158" s="22"/>
      <c r="H158" s="39"/>
    </row>
    <row r="159" spans="2:8" s="68" customFormat="1" ht="15.75">
      <c r="B159" s="89">
        <f>VLOOKUP(D159,'Upis rezultata D sektora'!$E$2:$G$13,3,0)</f>
        <v>29</v>
      </c>
      <c r="C159" s="90"/>
      <c r="D159" s="96" t="str">
        <f>IF(ISNONTEXT('Upis rezultata D sektora'!E7)=TRUE,"",'Upis rezultata D sektora'!E7)</f>
        <v>Mensur Rošić</v>
      </c>
      <c r="E159" s="91"/>
      <c r="F159" s="92">
        <f>IF(ISNUMBER('Prijava ekipa i izvlačenje br.'!B7)=FALSE,"",'Prijava ekipa i izvlačenje br.'!B7)</f>
        <v>4</v>
      </c>
      <c r="G159" s="97" t="str">
        <f>IF((D159)="","","D")</f>
        <v>D</v>
      </c>
      <c r="H159" s="97">
        <f>IF(ISNUMBER('Upis rezultata D sektora'!C7)=FALSE,"",'Upis rezultata D sektora'!C7)</f>
        <v>6</v>
      </c>
    </row>
    <row r="160" spans="2:8" ht="12.75">
      <c r="B160" s="40"/>
      <c r="C160" s="29"/>
      <c r="D160" s="29"/>
      <c r="E160" s="25"/>
      <c r="F160" s="25"/>
      <c r="G160" s="25"/>
      <c r="H160" s="25"/>
    </row>
    <row r="162" spans="1:9" ht="12.75">
      <c r="A162" s="36"/>
      <c r="B162" s="41"/>
      <c r="C162" s="42" t="s">
        <v>76</v>
      </c>
      <c r="D162" s="43"/>
      <c r="E162" s="44" t="s">
        <v>77</v>
      </c>
      <c r="F162" s="43"/>
      <c r="G162" s="44" t="s">
        <v>78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79</v>
      </c>
      <c r="C167" s="6" t="str">
        <f>IF(ISNONTEXT('Organizacija natjecanja'!H28)=TRUE,"",'Organizacija natjecanja'!H28)</f>
        <v>Dražen Sertić</v>
      </c>
      <c r="F167" s="6" t="s">
        <v>80</v>
      </c>
    </row>
    <row r="168" ht="12.75">
      <c r="B168" s="7"/>
    </row>
    <row r="169" ht="12.75">
      <c r="B169" s="7"/>
    </row>
    <row r="170" spans="2:3" ht="15">
      <c r="B170" s="31"/>
      <c r="C170" s="31" t="s">
        <v>70</v>
      </c>
    </row>
    <row r="171" ht="12.75">
      <c r="G171" s="18" t="str">
        <f>IF(ISNONTEXT('Organizacija natjecanja'!H5)=TRUE,"",'Organizacija natjecanja'!H5)</f>
        <v>Lipik, 28.04.2009.g.</v>
      </c>
    </row>
    <row r="172" ht="12.75">
      <c r="G172" s="19" t="s">
        <v>71</v>
      </c>
    </row>
    <row r="174" spans="4:8" ht="18">
      <c r="D174" s="32"/>
      <c r="E174" s="32" t="s">
        <v>72</v>
      </c>
      <c r="F174" s="32"/>
      <c r="G174" s="32"/>
      <c r="H174" s="32"/>
    </row>
    <row r="176" spans="5:8" ht="15">
      <c r="E176" s="20" t="str">
        <f>IF(ISNONTEXT('Organizacija natjecanja'!H2)=TRUE,"",'Organizacija natjecanja'!H2)</f>
        <v>KUP "BLJESAK"</v>
      </c>
      <c r="H176" s="21"/>
    </row>
    <row r="177" spans="4:8" ht="12.75">
      <c r="D177" s="7"/>
      <c r="E177" s="19" t="s">
        <v>73</v>
      </c>
      <c r="F177" s="7"/>
      <c r="G177" s="7"/>
      <c r="H177" s="7"/>
    </row>
    <row r="178" ht="12.75">
      <c r="D178" s="33"/>
    </row>
    <row r="179" spans="2:5" ht="15">
      <c r="B179" s="6" t="s">
        <v>69</v>
      </c>
      <c r="E179" s="20" t="str">
        <f>IF(ISNONTEXT('Upis rezultata C sektora'!D8)=TRUE,"",'Upis rezultata C sektora'!D8)</f>
        <v>Trnje-ŠR Zagreb</v>
      </c>
    </row>
    <row r="180" ht="12.75">
      <c r="E180" s="18"/>
    </row>
    <row r="181" spans="2:5" ht="12.75">
      <c r="B181" s="6" t="s">
        <v>62</v>
      </c>
      <c r="E181" s="18" t="str">
        <f>IF(ISNONTEXT('Organizacija natjecanja'!H9)=TRUE,"",'Organizacija natjecanja'!H9)</f>
        <v>SENIORI</v>
      </c>
    </row>
    <row r="183" spans="1:9" ht="12.75">
      <c r="A183" s="36"/>
      <c r="B183" s="34" t="s">
        <v>63</v>
      </c>
      <c r="C183" s="34"/>
      <c r="D183" s="35" t="s">
        <v>64</v>
      </c>
      <c r="E183" s="34"/>
      <c r="F183" s="34" t="s">
        <v>74</v>
      </c>
      <c r="G183" s="35" t="s">
        <v>65</v>
      </c>
      <c r="H183" s="34" t="s">
        <v>75</v>
      </c>
      <c r="I183" s="36"/>
    </row>
    <row r="184" spans="2:8" ht="12.75">
      <c r="B184" s="37"/>
      <c r="C184" s="38"/>
      <c r="D184" s="38"/>
      <c r="E184" s="22"/>
      <c r="F184" s="22"/>
      <c r="G184" s="22"/>
      <c r="H184" s="39"/>
    </row>
    <row r="185" spans="2:8" s="68" customFormat="1" ht="15.75">
      <c r="B185" s="89">
        <f>VLOOKUP(D185,'Upis rezultata D sektora'!$E$2:$G$13,3,0)</f>
        <v>34</v>
      </c>
      <c r="C185" s="90"/>
      <c r="D185" s="96" t="str">
        <f>IF(ISNONTEXT('Upis rezultata D sektora'!E8)=TRUE,"",'Upis rezultata D sektora'!E8)</f>
        <v>Tihomir Vukić</v>
      </c>
      <c r="E185" s="91"/>
      <c r="F185" s="92">
        <f>IF(ISNUMBER('Prijava ekipa i izvlačenje br.'!B8)=FALSE,"",'Prijava ekipa i izvlačenje br.'!B8)</f>
        <v>2</v>
      </c>
      <c r="G185" s="97" t="str">
        <f>IF((D185)="","","D")</f>
        <v>D</v>
      </c>
      <c r="H185" s="97">
        <f>IF(ISNUMBER('Upis rezultata D sektora'!C8)=FALSE,"",'Upis rezultata D sektora'!C8)</f>
        <v>7</v>
      </c>
    </row>
    <row r="186" spans="2:8" ht="12.75">
      <c r="B186" s="40"/>
      <c r="C186" s="29"/>
      <c r="D186" s="29"/>
      <c r="E186" s="25"/>
      <c r="F186" s="25"/>
      <c r="G186" s="25"/>
      <c r="H186" s="25"/>
    </row>
    <row r="188" spans="1:9" ht="12.75">
      <c r="A188" s="36"/>
      <c r="B188" s="41"/>
      <c r="C188" s="42" t="s">
        <v>76</v>
      </c>
      <c r="D188" s="43"/>
      <c r="E188" s="44" t="s">
        <v>77</v>
      </c>
      <c r="F188" s="43"/>
      <c r="G188" s="44" t="s">
        <v>78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79</v>
      </c>
      <c r="C193" s="6" t="str">
        <f>IF(ISNONTEXT('Organizacija natjecanja'!H28)=TRUE,"",'Organizacija natjecanja'!H28)</f>
        <v>Dražen Sertić</v>
      </c>
      <c r="F193" s="6" t="s">
        <v>80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70</v>
      </c>
    </row>
    <row r="201" ht="12.75">
      <c r="G201" s="18" t="str">
        <f>IF(ISNONTEXT('Organizacija natjecanja'!H5)=TRUE,"",'Organizacija natjecanja'!H5)</f>
        <v>Lipik, 28.04.2009.g.</v>
      </c>
    </row>
    <row r="202" ht="12.75">
      <c r="G202" s="19" t="s">
        <v>71</v>
      </c>
    </row>
    <row r="204" spans="4:8" ht="18">
      <c r="D204" s="32"/>
      <c r="E204" s="32" t="s">
        <v>72</v>
      </c>
      <c r="F204" s="32"/>
      <c r="G204" s="32"/>
      <c r="H204" s="32"/>
    </row>
    <row r="206" spans="5:8" ht="15">
      <c r="E206" s="20" t="str">
        <f>IF(ISNONTEXT('Organizacija natjecanja'!H2)=TRUE,"",'Organizacija natjecanja'!H2)</f>
        <v>KUP "BLJESAK"</v>
      </c>
      <c r="H206" s="21"/>
    </row>
    <row r="207" spans="4:8" ht="12.75">
      <c r="D207" s="7"/>
      <c r="E207" s="19" t="s">
        <v>73</v>
      </c>
      <c r="F207" s="7"/>
      <c r="G207" s="7"/>
      <c r="H207" s="7"/>
    </row>
    <row r="208" ht="12.75">
      <c r="D208" s="33"/>
    </row>
    <row r="209" spans="2:5" ht="15">
      <c r="B209" s="6" t="s">
        <v>61</v>
      </c>
      <c r="E209" s="20" t="str">
        <f>IF(ISNONTEXT('Upis rezultata C sektora'!D9)=TRUE,"",'Upis rezultata C sektora'!D9)</f>
        <v>Klen N.Gradiška</v>
      </c>
    </row>
    <row r="210" ht="12.75">
      <c r="E210" s="18"/>
    </row>
    <row r="211" spans="2:5" ht="12.75">
      <c r="B211" s="6" t="s">
        <v>62</v>
      </c>
      <c r="E211" s="18" t="str">
        <f>IF(ISNONTEXT('Organizacija natjecanja'!H9)=TRUE,"",'Organizacija natjecanja'!H9)</f>
        <v>SENIORI</v>
      </c>
    </row>
    <row r="213" spans="1:9" ht="12.75">
      <c r="A213" s="36"/>
      <c r="B213" s="34" t="s">
        <v>81</v>
      </c>
      <c r="C213" s="34"/>
      <c r="D213" s="35" t="s">
        <v>64</v>
      </c>
      <c r="E213" s="34"/>
      <c r="F213" s="34" t="s">
        <v>74</v>
      </c>
      <c r="G213" s="35" t="s">
        <v>65</v>
      </c>
      <c r="H213" s="34" t="s">
        <v>75</v>
      </c>
      <c r="I213" s="36"/>
    </row>
    <row r="214" spans="2:8" ht="12.75">
      <c r="B214" s="37"/>
      <c r="C214" s="38"/>
      <c r="D214" s="38"/>
      <c r="E214" s="22"/>
      <c r="F214" s="22"/>
      <c r="G214" s="22"/>
      <c r="H214" s="39"/>
    </row>
    <row r="215" spans="2:8" s="68" customFormat="1" ht="15.75">
      <c r="B215" s="89">
        <f>VLOOKUP(D215,'Upis rezultata D sektora'!$E$2:$G$13,3,0)</f>
        <v>39</v>
      </c>
      <c r="C215" s="90"/>
      <c r="D215" s="96" t="str">
        <f>IF(ISNONTEXT('Upis rezultata D sektora'!E9)=TRUE,"",'Upis rezultata D sektora'!E9)</f>
        <v>Goran Funes</v>
      </c>
      <c r="E215" s="91"/>
      <c r="F215" s="92">
        <f>IF(ISNUMBER('Prijava ekipa i izvlačenje br.'!B9)=FALSE,"",'Prijava ekipa i izvlačenje br.'!B9)</f>
        <v>6</v>
      </c>
      <c r="G215" s="97" t="str">
        <f>IF((D215)="","","D")</f>
        <v>D</v>
      </c>
      <c r="H215" s="97">
        <f>IF(ISNUMBER('Upis rezultata D sektora'!C9)=FALSE,"",'Upis rezultata D sektora'!C9)</f>
        <v>8</v>
      </c>
    </row>
    <row r="216" spans="2:8" ht="12.75">
      <c r="B216" s="40"/>
      <c r="C216" s="29"/>
      <c r="D216" s="29"/>
      <c r="E216" s="25"/>
      <c r="F216" s="25"/>
      <c r="G216" s="25"/>
      <c r="H216" s="25"/>
    </row>
    <row r="218" spans="1:9" ht="12.75">
      <c r="A218" s="36"/>
      <c r="B218" s="41"/>
      <c r="C218" s="42" t="s">
        <v>76</v>
      </c>
      <c r="D218" s="43"/>
      <c r="E218" s="44" t="s">
        <v>77</v>
      </c>
      <c r="F218" s="43"/>
      <c r="G218" s="44" t="s">
        <v>78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79</v>
      </c>
      <c r="C223" s="6" t="str">
        <f>IF(ISNONTEXT('Organizacija natjecanja'!H28)=TRUE,"",'Organizacija natjecanja'!H28)</f>
        <v>Dražen Sertić</v>
      </c>
      <c r="F223" s="6" t="s">
        <v>80</v>
      </c>
    </row>
    <row r="224" ht="12.75">
      <c r="B224" s="7"/>
    </row>
    <row r="225" ht="12.75">
      <c r="B225" s="7"/>
    </row>
    <row r="226" spans="2:3" ht="15">
      <c r="B226" s="31"/>
      <c r="C226" s="31" t="s">
        <v>70</v>
      </c>
    </row>
    <row r="227" ht="12.75">
      <c r="G227" s="18" t="str">
        <f>IF(ISNONTEXT('Organizacija natjecanja'!H5)=TRUE,"",'Organizacija natjecanja'!H5)</f>
        <v>Lipik, 28.04.2009.g.</v>
      </c>
    </row>
    <row r="228" ht="12.75">
      <c r="G228" s="19" t="s">
        <v>71</v>
      </c>
    </row>
    <row r="230" spans="4:8" ht="18">
      <c r="D230" s="32"/>
      <c r="E230" s="32" t="s">
        <v>72</v>
      </c>
      <c r="F230" s="32"/>
      <c r="G230" s="32"/>
      <c r="H230" s="32"/>
    </row>
    <row r="232" spans="5:8" ht="15">
      <c r="E232" s="20" t="str">
        <f>IF(ISNONTEXT('Organizacija natjecanja'!H2)=TRUE,"",'Organizacija natjecanja'!H2)</f>
        <v>KUP "BLJESAK"</v>
      </c>
      <c r="H232" s="21"/>
    </row>
    <row r="233" spans="4:8" ht="12.75">
      <c r="D233" s="7"/>
      <c r="E233" s="19" t="s">
        <v>73</v>
      </c>
      <c r="F233" s="7"/>
      <c r="G233" s="7"/>
      <c r="H233" s="7"/>
    </row>
    <row r="234" ht="12.75">
      <c r="D234" s="33"/>
    </row>
    <row r="235" spans="2:5" ht="15">
      <c r="B235" s="6" t="s">
        <v>69</v>
      </c>
      <c r="E235" s="20" t="str">
        <f>IF(ISNONTEXT('Upis rezultata C sektora'!D10)=TRUE,"",'Upis rezultata C sektora'!D10)</f>
        <v>Bjelka GME Sunja</v>
      </c>
    </row>
    <row r="236" ht="12.75">
      <c r="E236" s="18"/>
    </row>
    <row r="237" spans="2:5" ht="12.75">
      <c r="B237" s="6" t="s">
        <v>62</v>
      </c>
      <c r="E237" s="18" t="str">
        <f>IF(ISNONTEXT('Organizacija natjecanja'!H9)=TRUE,"",'Organizacija natjecanja'!H9)</f>
        <v>SENIORI</v>
      </c>
    </row>
    <row r="239" spans="1:9" ht="12.75">
      <c r="A239" s="36"/>
      <c r="B239" s="34" t="s">
        <v>63</v>
      </c>
      <c r="C239" s="34"/>
      <c r="D239" s="35" t="s">
        <v>64</v>
      </c>
      <c r="E239" s="34"/>
      <c r="F239" s="34" t="s">
        <v>74</v>
      </c>
      <c r="G239" s="35" t="s">
        <v>65</v>
      </c>
      <c r="H239" s="34" t="s">
        <v>75</v>
      </c>
      <c r="I239" s="36"/>
    </row>
    <row r="240" spans="2:8" ht="12.75">
      <c r="B240" s="37"/>
      <c r="C240" s="38"/>
      <c r="D240" s="38"/>
      <c r="E240" s="22"/>
      <c r="F240" s="22"/>
      <c r="G240" s="22"/>
      <c r="H240" s="39"/>
    </row>
    <row r="241" spans="2:8" s="68" customFormat="1" ht="15.75">
      <c r="B241" s="89">
        <f>VLOOKUP(D241,'Upis rezultata D sektora'!$E$2:$G$13,3,0)</f>
        <v>44</v>
      </c>
      <c r="C241" s="90"/>
      <c r="D241" s="96" t="str">
        <f>IF(ISNONTEXT('Upis rezultata D sektora'!E10)=TRUE,"",'Upis rezultata D sektora'!E10)</f>
        <v>Zdravko Vrbanek</v>
      </c>
      <c r="E241" s="91"/>
      <c r="F241" s="92">
        <f>IF(ISNUMBER('Prijava ekipa i izvlačenje br.'!B10)=FALSE,"",'Prijava ekipa i izvlačenje br.'!B10)</f>
        <v>5</v>
      </c>
      <c r="G241" s="97" t="str">
        <f>IF((D241)="","","D")</f>
        <v>D</v>
      </c>
      <c r="H241" s="97">
        <f>IF(ISNUMBER('Upis rezultata D sektora'!C10)=FALSE,"",'Upis rezultata D sektora'!C10)</f>
        <v>9</v>
      </c>
    </row>
    <row r="242" spans="2:8" ht="12.75">
      <c r="B242" s="40"/>
      <c r="C242" s="29"/>
      <c r="D242" s="29"/>
      <c r="E242" s="25"/>
      <c r="F242" s="25"/>
      <c r="G242" s="25"/>
      <c r="H242" s="25"/>
    </row>
    <row r="244" spans="1:9" ht="12.75">
      <c r="A244" s="36"/>
      <c r="B244" s="41"/>
      <c r="C244" s="42" t="s">
        <v>76</v>
      </c>
      <c r="D244" s="43"/>
      <c r="E244" s="44" t="s">
        <v>77</v>
      </c>
      <c r="F244" s="43"/>
      <c r="G244" s="44" t="s">
        <v>78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79</v>
      </c>
      <c r="C249" s="6" t="str">
        <f>IF(ISNONTEXT('Organizacija natjecanja'!H28)=TRUE,"",'Organizacija natjecanja'!H28)</f>
        <v>Dražen Sertić</v>
      </c>
      <c r="F249" s="6" t="s">
        <v>80</v>
      </c>
    </row>
    <row r="250" ht="12.75">
      <c r="B250" s="7"/>
    </row>
    <row r="251" ht="12.75">
      <c r="B251" s="7"/>
    </row>
    <row r="252" ht="12.75">
      <c r="B252" s="7"/>
    </row>
    <row r="253" ht="12.75">
      <c r="B253" s="7"/>
    </row>
    <row r="254" spans="1:9" ht="12.75">
      <c r="A254" s="30"/>
      <c r="B254" s="46"/>
      <c r="C254" s="30"/>
      <c r="D254" s="30"/>
      <c r="E254" s="30"/>
      <c r="F254" s="30"/>
      <c r="G254" s="30"/>
      <c r="H254" s="30"/>
      <c r="I254" s="30"/>
    </row>
    <row r="256" spans="2:3" ht="15">
      <c r="B256" s="31"/>
      <c r="C256" s="31" t="s">
        <v>70</v>
      </c>
    </row>
    <row r="257" ht="12.75">
      <c r="G257" s="18" t="str">
        <f>IF(ISNONTEXT('Organizacija natjecanja'!H5)=TRUE,"",'Organizacija natjecanja'!H5)</f>
        <v>Lipik, 28.04.2009.g.</v>
      </c>
    </row>
    <row r="258" ht="12.75">
      <c r="G258" s="19" t="s">
        <v>71</v>
      </c>
    </row>
    <row r="260" spans="4:8" ht="18">
      <c r="D260" s="32"/>
      <c r="E260" s="32" t="s">
        <v>72</v>
      </c>
      <c r="F260" s="32"/>
      <c r="G260" s="32"/>
      <c r="H260" s="32"/>
    </row>
    <row r="262" spans="5:8" ht="15">
      <c r="E262" s="20" t="str">
        <f>IF(ISNONTEXT('Organizacija natjecanja'!H2)=TRUE,"",'Organizacija natjecanja'!H2)</f>
        <v>KUP "BLJESAK"</v>
      </c>
      <c r="H262" s="21"/>
    </row>
    <row r="263" spans="4:8" ht="12.75">
      <c r="D263" s="7"/>
      <c r="E263" s="19" t="s">
        <v>73</v>
      </c>
      <c r="F263" s="7"/>
      <c r="G263" s="7"/>
      <c r="H263" s="7"/>
    </row>
    <row r="264" ht="12.75">
      <c r="D264" s="33"/>
    </row>
    <row r="265" spans="2:5" ht="15">
      <c r="B265" s="6" t="s">
        <v>61</v>
      </c>
      <c r="E265" s="20" t="str">
        <f>IF(ISNONTEXT('Upis rezultata C sektora'!D11)=TRUE,"",'Upis rezultata C sektora'!D11)</f>
        <v>TPK Zagreb</v>
      </c>
    </row>
    <row r="266" ht="12.75">
      <c r="E266" s="18"/>
    </row>
    <row r="267" spans="2:5" ht="12.75">
      <c r="B267" s="6" t="s">
        <v>62</v>
      </c>
      <c r="E267" s="18" t="str">
        <f>IF(ISNONTEXT('Organizacija natjecanja'!H9)=TRUE,"",'Organizacija natjecanja'!H9)</f>
        <v>SENIORI</v>
      </c>
    </row>
    <row r="269" spans="1:9" ht="12.75">
      <c r="A269" s="36"/>
      <c r="B269" s="34" t="s">
        <v>81</v>
      </c>
      <c r="C269" s="34"/>
      <c r="D269" s="35" t="s">
        <v>64</v>
      </c>
      <c r="E269" s="34"/>
      <c r="F269" s="34" t="s">
        <v>74</v>
      </c>
      <c r="G269" s="35" t="s">
        <v>65</v>
      </c>
      <c r="H269" s="34" t="s">
        <v>75</v>
      </c>
      <c r="I269" s="36"/>
    </row>
    <row r="270" spans="2:8" ht="12.75">
      <c r="B270" s="37"/>
      <c r="C270" s="38"/>
      <c r="D270" s="38"/>
      <c r="E270" s="22"/>
      <c r="F270" s="22"/>
      <c r="G270" s="22"/>
      <c r="H270" s="39"/>
    </row>
    <row r="271" spans="2:8" s="68" customFormat="1" ht="15.75">
      <c r="B271" s="89">
        <f>VLOOKUP(D271,'Upis rezultata D sektora'!$E$2:$G$13,3,0)</f>
        <v>49</v>
      </c>
      <c r="C271" s="90"/>
      <c r="D271" s="96" t="str">
        <f>IF(ISNONTEXT('Upis rezultata D sektora'!E11)=TRUE,"",'Upis rezultata D sektora'!E11)</f>
        <v>Zlatko Kraljević</v>
      </c>
      <c r="E271" s="91"/>
      <c r="F271" s="92">
        <f>IF(ISNUMBER('Prijava ekipa i izvlačenje br.'!B11)=FALSE,"",'Prijava ekipa i izvlačenje br.'!B11)</f>
        <v>1</v>
      </c>
      <c r="G271" s="97" t="str">
        <f>IF((D271)="","","D")</f>
        <v>D</v>
      </c>
      <c r="H271" s="97">
        <f>IF(ISNUMBER('Upis rezultata D sektora'!C11)=FALSE,"",'Upis rezultata D sektora'!C11)</f>
        <v>10</v>
      </c>
    </row>
    <row r="272" spans="2:8" ht="12.75">
      <c r="B272" s="40"/>
      <c r="C272" s="29"/>
      <c r="D272" s="29"/>
      <c r="E272" s="25"/>
      <c r="F272" s="25"/>
      <c r="G272" s="25"/>
      <c r="H272" s="25"/>
    </row>
    <row r="274" spans="1:9" ht="12.75">
      <c r="A274" s="36"/>
      <c r="B274" s="41"/>
      <c r="C274" s="42" t="s">
        <v>76</v>
      </c>
      <c r="D274" s="43"/>
      <c r="E274" s="44" t="s">
        <v>77</v>
      </c>
      <c r="F274" s="43"/>
      <c r="G274" s="44" t="s">
        <v>78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79</v>
      </c>
      <c r="C279" s="6" t="str">
        <f>IF(ISNONTEXT('Organizacija natjecanja'!H28)=TRUE,"",'Organizacija natjecanja'!H28)</f>
        <v>Dražen Sertić</v>
      </c>
      <c r="F279" s="6" t="s">
        <v>80</v>
      </c>
    </row>
    <row r="280" ht="12.75">
      <c r="B280" s="7"/>
    </row>
    <row r="281" ht="12.75">
      <c r="B281" s="7"/>
    </row>
    <row r="282" spans="2:3" ht="15">
      <c r="B282" s="31"/>
      <c r="C282" s="31" t="s">
        <v>70</v>
      </c>
    </row>
    <row r="283" ht="12.75">
      <c r="G283" s="18" t="str">
        <f>IF(ISNONTEXT('Organizacija natjecanja'!H5)=TRUE,"",'Organizacija natjecanja'!H5)</f>
        <v>Lipik, 28.04.2009.g.</v>
      </c>
    </row>
    <row r="284" ht="12.75">
      <c r="G284" s="19" t="s">
        <v>71</v>
      </c>
    </row>
    <row r="286" spans="4:8" ht="18">
      <c r="D286" s="32"/>
      <c r="E286" s="32" t="s">
        <v>72</v>
      </c>
      <c r="F286" s="32"/>
      <c r="G286" s="32"/>
      <c r="H286" s="32"/>
    </row>
    <row r="288" spans="5:8" ht="15">
      <c r="E288" s="20" t="str">
        <f>IF(ISNONTEXT('Organizacija natjecanja'!H2)=TRUE,"",'Organizacija natjecanja'!H2)</f>
        <v>KUP "BLJESAK"</v>
      </c>
      <c r="H288" s="21"/>
    </row>
    <row r="289" spans="4:8" ht="12.75">
      <c r="D289" s="7"/>
      <c r="E289" s="19" t="s">
        <v>73</v>
      </c>
      <c r="F289" s="7"/>
      <c r="G289" s="7"/>
      <c r="H289" s="7"/>
    </row>
    <row r="290" ht="12.75">
      <c r="D290" s="33"/>
    </row>
    <row r="291" spans="2:5" ht="15">
      <c r="B291" s="6" t="s">
        <v>69</v>
      </c>
      <c r="E291" s="20" t="str">
        <f>IF(ISNONTEXT('Upis rezultata C sektora'!D12)=TRUE,"",'Upis rezultata C sektora'!D12)</f>
        <v>Ilova Garešnica</v>
      </c>
    </row>
    <row r="292" ht="12.75">
      <c r="E292" s="18"/>
    </row>
    <row r="293" spans="2:5" ht="12.75">
      <c r="B293" s="6" t="s">
        <v>62</v>
      </c>
      <c r="E293" s="18" t="str">
        <f>IF(ISNONTEXT('Organizacija natjecanja'!H9)=TRUE,"",'Organizacija natjecanja'!H9)</f>
        <v>SENIORI</v>
      </c>
    </row>
    <row r="295" spans="1:9" ht="12.75">
      <c r="A295" s="36"/>
      <c r="B295" s="34" t="s">
        <v>63</v>
      </c>
      <c r="C295" s="34"/>
      <c r="D295" s="35" t="s">
        <v>64</v>
      </c>
      <c r="E295" s="34"/>
      <c r="F295" s="34" t="s">
        <v>74</v>
      </c>
      <c r="G295" s="35" t="s">
        <v>65</v>
      </c>
      <c r="H295" s="34" t="s">
        <v>75</v>
      </c>
      <c r="I295" s="36"/>
    </row>
    <row r="296" spans="2:8" ht="12.75">
      <c r="B296" s="37"/>
      <c r="C296" s="38"/>
      <c r="D296" s="38"/>
      <c r="E296" s="22"/>
      <c r="F296" s="22"/>
      <c r="G296" s="22"/>
      <c r="H296" s="39"/>
    </row>
    <row r="297" spans="2:8" s="68" customFormat="1" ht="15.75">
      <c r="B297" s="89">
        <f>VLOOKUP(D297,'Upis rezultata D sektora'!$E$2:$G$13,3,0)</f>
        <v>54</v>
      </c>
      <c r="C297" s="90"/>
      <c r="D297" s="96" t="str">
        <f>IF(ISNONTEXT('Upis rezultata D sektora'!E12)=TRUE,"",'Upis rezultata D sektora'!E12)</f>
        <v>Bengez Dražen</v>
      </c>
      <c r="E297" s="91"/>
      <c r="F297" s="92">
        <f>IF(ISNUMBER('Prijava ekipa i izvlačenje br.'!B12)=FALSE,"",'Prijava ekipa i izvlačenje br.'!B12)</f>
        <v>8</v>
      </c>
      <c r="G297" s="97" t="str">
        <f>IF((D297)="","","D")</f>
        <v>D</v>
      </c>
      <c r="H297" s="97">
        <f>IF(ISNUMBER('Upis rezultata D sektora'!C12)=FALSE,"",'Upis rezultata D sektora'!C12)</f>
        <v>11</v>
      </c>
    </row>
    <row r="298" spans="2:8" ht="12.75">
      <c r="B298" s="40"/>
      <c r="C298" s="29"/>
      <c r="D298" s="29"/>
      <c r="E298" s="25"/>
      <c r="F298" s="25"/>
      <c r="G298" s="25"/>
      <c r="H298" s="25"/>
    </row>
    <row r="300" spans="1:9" ht="12.75">
      <c r="A300" s="36"/>
      <c r="B300" s="41"/>
      <c r="C300" s="42" t="s">
        <v>76</v>
      </c>
      <c r="D300" s="43"/>
      <c r="E300" s="44" t="s">
        <v>77</v>
      </c>
      <c r="F300" s="43"/>
      <c r="G300" s="44" t="s">
        <v>78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79</v>
      </c>
      <c r="C305" s="6" t="str">
        <f>IF(ISNONTEXT('Organizacija natjecanja'!H28)=TRUE,"",'Organizacija natjecanja'!H28)</f>
        <v>Dražen Sertić</v>
      </c>
      <c r="F305" s="6" t="s">
        <v>80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70</v>
      </c>
    </row>
    <row r="313" ht="12.75">
      <c r="G313" s="18" t="str">
        <f>IF(ISNONTEXT('Organizacija natjecanja'!H5)=TRUE,"",'Organizacija natjecanja'!H5)</f>
        <v>Lipik, 28.04.2009.g.</v>
      </c>
    </row>
    <row r="314" ht="12.75">
      <c r="G314" s="19" t="s">
        <v>71</v>
      </c>
    </row>
    <row r="316" spans="4:8" ht="18">
      <c r="D316" s="32"/>
      <c r="E316" s="32" t="s">
        <v>72</v>
      </c>
      <c r="F316" s="32"/>
      <c r="G316" s="32"/>
      <c r="H316" s="32"/>
    </row>
    <row r="318" spans="5:8" ht="15">
      <c r="E318" s="20" t="str">
        <f>IF(ISNONTEXT('Organizacija natjecanja'!H2)=TRUE,"",'Organizacija natjecanja'!H2)</f>
        <v>KUP "BLJESAK"</v>
      </c>
      <c r="H318" s="21"/>
    </row>
    <row r="319" spans="4:8" ht="12.75">
      <c r="D319" s="7"/>
      <c r="E319" s="19" t="s">
        <v>73</v>
      </c>
      <c r="F319" s="7"/>
      <c r="G319" s="7"/>
      <c r="H319" s="7"/>
    </row>
    <row r="320" ht="12.75">
      <c r="D320" s="33"/>
    </row>
    <row r="321" spans="2:5" ht="15">
      <c r="B321" s="6" t="s">
        <v>61</v>
      </c>
      <c r="E321" s="20" t="str">
        <f>IF(ISNONTEXT('Upis rezultata C sektora'!D13)=TRUE,"",'Upis rezultata C sektora'!D13)</f>
        <v>Jez Jasenovac</v>
      </c>
    </row>
    <row r="322" ht="12.75">
      <c r="E322" s="18"/>
    </row>
    <row r="323" spans="2:5" ht="12.75">
      <c r="B323" s="6" t="s">
        <v>62</v>
      </c>
      <c r="E323" s="18" t="str">
        <f>IF(ISNONTEXT('Organizacija natjecanja'!H9)=TRUE,"",'Organizacija natjecanja'!H9)</f>
        <v>SENIORI</v>
      </c>
    </row>
    <row r="325" spans="1:9" ht="12.75">
      <c r="A325" s="36"/>
      <c r="B325" s="34" t="s">
        <v>81</v>
      </c>
      <c r="C325" s="34"/>
      <c r="D325" s="35" t="s">
        <v>64</v>
      </c>
      <c r="E325" s="34"/>
      <c r="F325" s="34" t="s">
        <v>74</v>
      </c>
      <c r="G325" s="35" t="s">
        <v>65</v>
      </c>
      <c r="H325" s="34" t="s">
        <v>75</v>
      </c>
      <c r="I325" s="36"/>
    </row>
    <row r="326" spans="2:8" ht="12.75">
      <c r="B326" s="37"/>
      <c r="C326" s="38"/>
      <c r="D326" s="38"/>
      <c r="E326" s="22"/>
      <c r="F326" s="22"/>
      <c r="G326" s="22"/>
      <c r="H326" s="39"/>
    </row>
    <row r="327" spans="2:8" s="68" customFormat="1" ht="15.75">
      <c r="B327" s="89">
        <f>VLOOKUP(D327,'Upis rezultata D sektora'!$E$2:$G$13,3,0)</f>
        <v>59</v>
      </c>
      <c r="C327" s="90"/>
      <c r="D327" s="96" t="str">
        <f>IF(ISNONTEXT('Upis rezultata D sektora'!E13)=TRUE,"",'Upis rezultata D sektora'!E13)</f>
        <v>Mario Akmačić</v>
      </c>
      <c r="E327" s="91"/>
      <c r="F327" s="92">
        <f>IF(ISNUMBER('Prijava ekipa i izvlačenje br.'!B13)=FALSE,"",'Prijava ekipa i izvlačenje br.'!B13)</f>
        <v>12</v>
      </c>
      <c r="G327" s="97" t="str">
        <f>IF((D327)="","","D")</f>
        <v>D</v>
      </c>
      <c r="H327" s="97">
        <f>IF(ISNUMBER('Upis rezultata D sektora'!C13)=FALSE,"",'Upis rezultata D sektora'!C13)</f>
        <v>12</v>
      </c>
    </row>
    <row r="328" spans="2:8" ht="12.75">
      <c r="B328" s="40"/>
      <c r="C328" s="29"/>
      <c r="D328" s="29"/>
      <c r="E328" s="25"/>
      <c r="F328" s="25"/>
      <c r="G328" s="25"/>
      <c r="H328" s="25"/>
    </row>
    <row r="330" spans="1:9" ht="12.75">
      <c r="A330" s="36"/>
      <c r="B330" s="41"/>
      <c r="C330" s="42" t="s">
        <v>76</v>
      </c>
      <c r="D330" s="43"/>
      <c r="E330" s="44" t="s">
        <v>77</v>
      </c>
      <c r="F330" s="43"/>
      <c r="G330" s="44" t="s">
        <v>78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79</v>
      </c>
      <c r="C335" s="6" t="str">
        <f>IF(ISNONTEXT('Organizacija natjecanja'!H28)=TRUE,"",'Organizacija natjecanja'!H28)</f>
        <v>Dražen Sertić</v>
      </c>
      <c r="F335" s="6" t="s">
        <v>80</v>
      </c>
    </row>
    <row r="336" ht="12.75">
      <c r="B336" s="7"/>
    </row>
  </sheetData>
  <sheetProtection password="C7E2" sheet="1" objects="1" scenarios="1"/>
  <printOptions/>
  <pageMargins left="0.7480314960629921" right="0.7480314960629921" top="0.78" bottom="0.79" header="0.64" footer="0.4330708661417323"/>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9.xml><?xml version="1.0" encoding="utf-8"?>
<worksheet xmlns="http://schemas.openxmlformats.org/spreadsheetml/2006/main" xmlns:r="http://schemas.openxmlformats.org/officeDocument/2006/relationships">
  <sheetPr codeName="Sheet15">
    <tabColor indexed="11"/>
  </sheetPr>
  <dimension ref="A2:I336"/>
  <sheetViews>
    <sheetView showGridLines="0" showRowColHeaders="0" zoomScalePageLayoutView="0" workbookViewId="0" topLeftCell="A1">
      <selection activeCell="O28" sqref="O28"/>
    </sheetView>
  </sheetViews>
  <sheetFormatPr defaultColWidth="9.140625" defaultRowHeight="12.75"/>
  <cols>
    <col min="1" max="16384" width="9.140625" style="6" customWidth="1"/>
  </cols>
  <sheetData>
    <row r="2" spans="2:8" ht="15">
      <c r="B2" s="31"/>
      <c r="C2" s="31" t="s">
        <v>70</v>
      </c>
      <c r="H2" s="8"/>
    </row>
    <row r="3" ht="12.75">
      <c r="G3" s="18" t="str">
        <f>IF(ISNONTEXT('Organizacija natjecanja'!H5)=TRUE,"",'Organizacija natjecanja'!H5)</f>
        <v>Lipik, 28.04.2009.g.</v>
      </c>
    </row>
    <row r="4" ht="12.75">
      <c r="G4" s="19" t="s">
        <v>71</v>
      </c>
    </row>
    <row r="5" ht="12.75">
      <c r="H5" s="8"/>
    </row>
    <row r="6" spans="4:8" ht="18">
      <c r="D6" s="32"/>
      <c r="E6" s="32" t="s">
        <v>72</v>
      </c>
      <c r="F6" s="32"/>
      <c r="G6" s="32"/>
      <c r="H6" s="32"/>
    </row>
    <row r="8" spans="5:8" ht="15">
      <c r="E8" s="20" t="str">
        <f>IF(ISNONTEXT('Organizacija natjecanja'!H2)=TRUE,"",'Organizacija natjecanja'!H2)</f>
        <v>KUP "BLJESAK"</v>
      </c>
      <c r="H8" s="21"/>
    </row>
    <row r="9" spans="4:8" ht="12.75">
      <c r="D9" s="7"/>
      <c r="E9" s="19" t="s">
        <v>73</v>
      </c>
      <c r="F9" s="7"/>
      <c r="G9" s="7"/>
      <c r="H9" s="7"/>
    </row>
    <row r="10" ht="12.75">
      <c r="D10" s="33"/>
    </row>
    <row r="11" spans="2:5" ht="15">
      <c r="B11" s="6" t="s">
        <v>69</v>
      </c>
      <c r="E11" s="20" t="str">
        <f>IF(ISNONTEXT('Upis rezultata C sektora'!D2)=TRUE,"",'Upis rezultata C sektora'!D2)</f>
        <v>Korana Karlovac</v>
      </c>
    </row>
    <row r="12" ht="12.75">
      <c r="E12" s="18"/>
    </row>
    <row r="13" spans="2:5" ht="12.75">
      <c r="B13" s="6" t="s">
        <v>62</v>
      </c>
      <c r="E13" s="18" t="str">
        <f>IF(ISNONTEXT('Organizacija natjecanja'!H9)=TRUE,"",'Organizacija natjecanja'!H9)</f>
        <v>SENIORI</v>
      </c>
    </row>
    <row r="15" spans="2:8" s="36" customFormat="1" ht="12">
      <c r="B15" s="34" t="s">
        <v>63</v>
      </c>
      <c r="C15" s="34"/>
      <c r="D15" s="35" t="s">
        <v>64</v>
      </c>
      <c r="E15" s="34"/>
      <c r="F15" s="34" t="s">
        <v>74</v>
      </c>
      <c r="G15" s="35" t="s">
        <v>65</v>
      </c>
      <c r="H15" s="34" t="s">
        <v>75</v>
      </c>
    </row>
    <row r="16" spans="2:8" ht="12.75">
      <c r="B16" s="37"/>
      <c r="C16" s="38"/>
      <c r="D16" s="38"/>
      <c r="E16" s="22"/>
      <c r="F16" s="22"/>
      <c r="G16" s="22"/>
      <c r="H16" s="39"/>
    </row>
    <row r="17" spans="2:8" s="68" customFormat="1" ht="15.75">
      <c r="B17" s="89">
        <f>VLOOKUP(D17,'Upis rezultata E sektora'!$E$2:$G$13,3,0)</f>
        <v>5</v>
      </c>
      <c r="C17" s="90"/>
      <c r="D17" s="96" t="str">
        <f>IF(ISNONTEXT('Upis rezultata E sektora'!E2)=TRUE,"",'Upis rezultata E sektora'!E2)</f>
        <v>Ivan Kovač</v>
      </c>
      <c r="E17" s="91"/>
      <c r="F17" s="92">
        <f>IF(ISNUMBER('Prijava ekipa i izvlačenje br.'!B2)=FALSE,"",'Prijava ekipa i izvlačenje br.'!B2)</f>
        <v>3</v>
      </c>
      <c r="G17" s="97" t="str">
        <f>IF((D17)="","","E")</f>
        <v>E</v>
      </c>
      <c r="H17" s="97">
        <f>IF(ISNUMBER('Upis rezultata E sektora'!C2)=FALSE,"",'Upis rezultata E sektora'!C2)</f>
        <v>1</v>
      </c>
    </row>
    <row r="18" spans="2:8" ht="12.75">
      <c r="B18" s="40"/>
      <c r="C18" s="29"/>
      <c r="D18" s="29"/>
      <c r="E18" s="25"/>
      <c r="F18" s="25"/>
      <c r="G18" s="25"/>
      <c r="H18" s="25"/>
    </row>
    <row r="20" spans="2:8" s="36" customFormat="1" ht="12">
      <c r="B20" s="41"/>
      <c r="C20" s="42" t="s">
        <v>76</v>
      </c>
      <c r="D20" s="43"/>
      <c r="E20" s="44" t="s">
        <v>77</v>
      </c>
      <c r="F20" s="43"/>
      <c r="G20" s="44" t="s">
        <v>78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79</v>
      </c>
      <c r="C25" s="6" t="str">
        <f>IF(ISNONTEXT('Organizacija natjecanja'!H30)=TRUE,"",'Organizacija natjecanja'!H30)</f>
        <v>Karlo Međurečan</v>
      </c>
      <c r="F25" s="6" t="s">
        <v>80</v>
      </c>
    </row>
    <row r="26" ht="12.75">
      <c r="B26" s="7"/>
    </row>
    <row r="27" ht="12.75">
      <c r="B27" s="7"/>
    </row>
    <row r="28" ht="12.75">
      <c r="B28" s="7"/>
    </row>
    <row r="29" spans="1:9" ht="12.75">
      <c r="A29" s="30"/>
      <c r="B29" s="46"/>
      <c r="C29" s="30"/>
      <c r="D29" s="30"/>
      <c r="E29" s="30"/>
      <c r="F29" s="30"/>
      <c r="G29" s="30"/>
      <c r="H29" s="30"/>
      <c r="I29" s="30"/>
    </row>
    <row r="30" spans="1:9" ht="12.75" customHeight="1">
      <c r="A30" s="30"/>
      <c r="B30" s="46"/>
      <c r="C30" s="30"/>
      <c r="D30" s="30"/>
      <c r="E30" s="30"/>
      <c r="F30" s="30"/>
      <c r="G30" s="30"/>
      <c r="H30" s="30"/>
      <c r="I30" s="30"/>
    </row>
    <row r="32" spans="2:3" ht="15">
      <c r="B32" s="31"/>
      <c r="C32" s="31" t="s">
        <v>70</v>
      </c>
    </row>
    <row r="33" ht="12.75">
      <c r="G33" s="18" t="str">
        <f>IF(ISNONTEXT('Organizacija natjecanja'!H5)=TRUE,"",'Organizacija natjecanja'!H5)</f>
        <v>Lipik, 28.04.2009.g.</v>
      </c>
    </row>
    <row r="34" ht="12.75">
      <c r="G34" s="19" t="s">
        <v>71</v>
      </c>
    </row>
    <row r="36" spans="4:8" ht="18">
      <c r="D36" s="32"/>
      <c r="E36" s="32" t="s">
        <v>72</v>
      </c>
      <c r="F36" s="32"/>
      <c r="G36" s="32"/>
      <c r="H36" s="32"/>
    </row>
    <row r="38" spans="5:8" ht="15">
      <c r="E38" s="20" t="str">
        <f>IF(ISNONTEXT('Organizacija natjecanja'!H2)=TRUE,"",'Organizacija natjecanja'!H2)</f>
        <v>KUP "BLJESAK"</v>
      </c>
      <c r="H38" s="21"/>
    </row>
    <row r="39" spans="4:8" ht="12.75">
      <c r="D39" s="7"/>
      <c r="E39" s="19" t="s">
        <v>73</v>
      </c>
      <c r="F39" s="7"/>
      <c r="G39" s="7"/>
      <c r="H39" s="7"/>
    </row>
    <row r="40" ht="12.75">
      <c r="D40" s="33"/>
    </row>
    <row r="41" spans="2:5" ht="15">
      <c r="B41" s="6" t="s">
        <v>61</v>
      </c>
      <c r="E41" s="20" t="str">
        <f>IF(ISNONTEXT('Upis rezultata C sektora'!D3)=TRUE,"",'Upis rezultata C sektora'!D3)</f>
        <v>Štuka Torčec</v>
      </c>
    </row>
    <row r="42" ht="12.75">
      <c r="E42" s="18"/>
    </row>
    <row r="43" spans="2:5" ht="12.75">
      <c r="B43" s="6" t="s">
        <v>62</v>
      </c>
      <c r="E43" s="18" t="str">
        <f>IF(ISNONTEXT('Organizacija natjecanja'!H9)=TRUE,"",'Organizacija natjecanja'!H9)</f>
        <v>SENIORI</v>
      </c>
    </row>
    <row r="45" spans="2:8" s="36" customFormat="1" ht="12">
      <c r="B45" s="34" t="s">
        <v>81</v>
      </c>
      <c r="C45" s="34"/>
      <c r="D45" s="35" t="s">
        <v>64</v>
      </c>
      <c r="E45" s="34"/>
      <c r="F45" s="34" t="s">
        <v>74</v>
      </c>
      <c r="G45" s="35" t="s">
        <v>65</v>
      </c>
      <c r="H45" s="34" t="s">
        <v>75</v>
      </c>
    </row>
    <row r="46" spans="2:8" ht="12.75">
      <c r="B46" s="37"/>
      <c r="C46" s="38"/>
      <c r="D46" s="38"/>
      <c r="E46" s="22"/>
      <c r="F46" s="22"/>
      <c r="G46" s="22"/>
      <c r="H46" s="39"/>
    </row>
    <row r="47" spans="2:8" s="68" customFormat="1" ht="15.75">
      <c r="B47" s="89">
        <f>VLOOKUP(D47,'Upis rezultata E sektora'!$E$2:$G$13,3,0)</f>
        <v>10</v>
      </c>
      <c r="C47" s="90"/>
      <c r="D47" s="96" t="str">
        <f>IF(ISNONTEXT('Upis rezultata E sektora'!E3)=TRUE,"",'Upis rezultata E sektora'!E3)</f>
        <v>Saša Mustač</v>
      </c>
      <c r="E47" s="91"/>
      <c r="F47" s="92">
        <f>IF(ISNUMBER('Prijava ekipa i izvlačenje br.'!B3)=FALSE,"",'Prijava ekipa i izvlačenje br.'!B3)</f>
        <v>7</v>
      </c>
      <c r="G47" s="97" t="str">
        <f>IF((D47)="","","E")</f>
        <v>E</v>
      </c>
      <c r="H47" s="97">
        <f>IF(ISNUMBER('Upis rezultata E sektora'!C3)=FALSE,"",'Upis rezultata E sektora'!C3)</f>
        <v>2</v>
      </c>
    </row>
    <row r="48" spans="2:8" ht="12.75">
      <c r="B48" s="40"/>
      <c r="C48" s="29"/>
      <c r="D48" s="29"/>
      <c r="E48" s="25"/>
      <c r="F48" s="25"/>
      <c r="G48" s="25"/>
      <c r="H48" s="25"/>
    </row>
    <row r="50" spans="2:8" s="36" customFormat="1" ht="12">
      <c r="B50" s="41"/>
      <c r="C50" s="42" t="s">
        <v>76</v>
      </c>
      <c r="D50" s="43"/>
      <c r="E50" s="44" t="s">
        <v>77</v>
      </c>
      <c r="F50" s="43"/>
      <c r="G50" s="44" t="s">
        <v>78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79</v>
      </c>
      <c r="C55" s="6" t="str">
        <f>IF(ISNONTEXT('Organizacija natjecanja'!H30)=TRUE,"",'Organizacija natjecanja'!H30)</f>
        <v>Karlo Međurečan</v>
      </c>
      <c r="F55" s="6" t="s">
        <v>80</v>
      </c>
    </row>
    <row r="56" ht="12.75">
      <c r="B56" s="7"/>
    </row>
    <row r="57" ht="12.75">
      <c r="B57" s="7"/>
    </row>
    <row r="58" spans="2:3" ht="15">
      <c r="B58" s="31"/>
      <c r="C58" s="31" t="s">
        <v>70</v>
      </c>
    </row>
    <row r="59" ht="12.75">
      <c r="G59" s="18" t="str">
        <f>IF(ISNONTEXT('Organizacija natjecanja'!H5)=TRUE,"",'Organizacija natjecanja'!H5)</f>
        <v>Lipik, 28.04.2009.g.</v>
      </c>
    </row>
    <row r="60" ht="12.75">
      <c r="G60" s="19" t="s">
        <v>71</v>
      </c>
    </row>
    <row r="62" spans="4:8" ht="18">
      <c r="D62" s="32"/>
      <c r="E62" s="32" t="s">
        <v>72</v>
      </c>
      <c r="F62" s="32"/>
      <c r="G62" s="32"/>
      <c r="H62" s="32"/>
    </row>
    <row r="64" spans="5:8" ht="15">
      <c r="E64" s="20" t="str">
        <f>IF(ISNONTEXT('Organizacija natjecanja'!H2)=TRUE,"",'Organizacija natjecanja'!H2)</f>
        <v>KUP "BLJESAK"</v>
      </c>
      <c r="H64" s="21"/>
    </row>
    <row r="65" spans="4:8" ht="12.75">
      <c r="D65" s="7"/>
      <c r="E65" s="19" t="s">
        <v>73</v>
      </c>
      <c r="F65" s="7"/>
      <c r="G65" s="7"/>
      <c r="H65" s="7"/>
    </row>
    <row r="66" ht="12.75">
      <c r="D66" s="33"/>
    </row>
    <row r="67" spans="2:5" ht="15">
      <c r="B67" s="6" t="s">
        <v>69</v>
      </c>
      <c r="E67" s="20" t="str">
        <f>IF(ISNONTEXT('Upis rezultata C sektora'!D4)=TRUE,"",'Upis rezultata C sektora'!D4)</f>
        <v>Rak Rakitje</v>
      </c>
    </row>
    <row r="68" ht="12.75">
      <c r="E68" s="18"/>
    </row>
    <row r="69" spans="2:5" ht="12.75">
      <c r="B69" s="6" t="s">
        <v>62</v>
      </c>
      <c r="E69" s="18" t="str">
        <f>IF(ISNONTEXT('Organizacija natjecanja'!H9)=TRUE,"",'Organizacija natjecanja'!H9)</f>
        <v>SENIORI</v>
      </c>
    </row>
    <row r="71" spans="1:9" ht="12.75">
      <c r="A71" s="36"/>
      <c r="B71" s="34" t="s">
        <v>63</v>
      </c>
      <c r="C71" s="34"/>
      <c r="D71" s="35" t="s">
        <v>64</v>
      </c>
      <c r="E71" s="34"/>
      <c r="F71" s="34" t="s">
        <v>74</v>
      </c>
      <c r="G71" s="35" t="s">
        <v>65</v>
      </c>
      <c r="H71" s="34" t="s">
        <v>75</v>
      </c>
      <c r="I71" s="36"/>
    </row>
    <row r="72" spans="2:8" ht="12.75">
      <c r="B72" s="37"/>
      <c r="C72" s="38"/>
      <c r="D72" s="38"/>
      <c r="E72" s="22"/>
      <c r="F72" s="22"/>
      <c r="G72" s="22"/>
      <c r="H72" s="39"/>
    </row>
    <row r="73" spans="2:8" s="68" customFormat="1" ht="15.75">
      <c r="B73" s="89">
        <f>VLOOKUP(D73,'Upis rezultata E sektora'!$E$2:$G$13,3,0)</f>
        <v>15</v>
      </c>
      <c r="C73" s="90"/>
      <c r="D73" s="96" t="str">
        <f>IF(ISNONTEXT('Upis rezultata E sektora'!E4)=TRUE,"",'Upis rezultata E sektora'!E4)</f>
        <v>Zlatko Auker</v>
      </c>
      <c r="E73" s="91"/>
      <c r="F73" s="92">
        <f>IF(ISNUMBER('Prijava ekipa i izvlačenje br.'!B4)=FALSE,"",'Prijava ekipa i izvlačenje br.'!B4)</f>
        <v>9</v>
      </c>
      <c r="G73" s="97" t="str">
        <f>IF((D73)="","","E")</f>
        <v>E</v>
      </c>
      <c r="H73" s="97">
        <f>IF(ISNUMBER('Upis rezultata E sektora'!C4)=FALSE,"",'Upis rezultata E sektora'!C4)</f>
        <v>3</v>
      </c>
    </row>
    <row r="74" spans="2:8" ht="12.75">
      <c r="B74" s="40"/>
      <c r="C74" s="29"/>
      <c r="D74" s="29"/>
      <c r="E74" s="25"/>
      <c r="F74" s="25"/>
      <c r="G74" s="25"/>
      <c r="H74" s="25"/>
    </row>
    <row r="76" spans="1:9" ht="12.75">
      <c r="A76" s="36"/>
      <c r="B76" s="41"/>
      <c r="C76" s="42" t="s">
        <v>76</v>
      </c>
      <c r="D76" s="43"/>
      <c r="E76" s="44" t="s">
        <v>77</v>
      </c>
      <c r="F76" s="43"/>
      <c r="G76" s="44" t="s">
        <v>78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79</v>
      </c>
      <c r="C81" s="6" t="str">
        <f>IF(ISNONTEXT('Organizacija natjecanja'!H30)=TRUE,"",'Organizacija natjecanja'!H30)</f>
        <v>Karlo Međurečan</v>
      </c>
      <c r="F81" s="6" t="s">
        <v>80</v>
      </c>
    </row>
    <row r="82" ht="12.75">
      <c r="B82" s="7"/>
    </row>
    <row r="83" ht="12.75">
      <c r="B83" s="7"/>
    </row>
    <row r="84" ht="12.75">
      <c r="B84" s="7"/>
    </row>
    <row r="85" spans="1:9" ht="12.75">
      <c r="A85" s="30"/>
      <c r="B85" s="46"/>
      <c r="C85" s="30"/>
      <c r="D85" s="30"/>
      <c r="E85" s="30"/>
      <c r="F85" s="30"/>
      <c r="G85" s="30"/>
      <c r="H85" s="30"/>
      <c r="I85" s="30"/>
    </row>
    <row r="86" spans="1:9" ht="12.75">
      <c r="A86" s="30"/>
      <c r="B86" s="46"/>
      <c r="C86" s="30"/>
      <c r="D86" s="30"/>
      <c r="E86" s="30"/>
      <c r="F86" s="30"/>
      <c r="G86" s="30"/>
      <c r="H86" s="30"/>
      <c r="I86" s="30"/>
    </row>
    <row r="88" spans="2:3" ht="15">
      <c r="B88" s="31"/>
      <c r="C88" s="31" t="s">
        <v>70</v>
      </c>
    </row>
    <row r="89" ht="12.75">
      <c r="G89" s="18" t="str">
        <f>IF(ISNONTEXT('Organizacija natjecanja'!H5)=TRUE,"",'Organizacija natjecanja'!H5)</f>
        <v>Lipik, 28.04.2009.g.</v>
      </c>
    </row>
    <row r="90" ht="12.75">
      <c r="G90" s="19" t="s">
        <v>71</v>
      </c>
    </row>
    <row r="92" spans="4:8" ht="18">
      <c r="D92" s="32"/>
      <c r="E92" s="32" t="s">
        <v>72</v>
      </c>
      <c r="F92" s="32"/>
      <c r="G92" s="32"/>
      <c r="H92" s="32"/>
    </row>
    <row r="94" spans="5:8" ht="15">
      <c r="E94" s="20" t="str">
        <f>IF(ISNONTEXT('Organizacija natjecanja'!H2)=TRUE,"",'Organizacija natjecanja'!H2)</f>
        <v>KUP "BLJESAK"</v>
      </c>
      <c r="H94" s="21"/>
    </row>
    <row r="95" spans="4:8" ht="12.75">
      <c r="D95" s="7"/>
      <c r="E95" s="19" t="s">
        <v>73</v>
      </c>
      <c r="F95" s="7"/>
      <c r="G95" s="7"/>
      <c r="H95" s="7"/>
    </row>
    <row r="96" ht="12.75">
      <c r="D96" s="33"/>
    </row>
    <row r="97" spans="2:5" ht="15">
      <c r="B97" s="6" t="s">
        <v>61</v>
      </c>
      <c r="E97" s="20" t="str">
        <f>IF(ISNONTEXT('Upis rezultata C sektora'!D5)=TRUE,"",'Upis rezultata C sektora'!D5)</f>
        <v>Bjelovar Bjelovar</v>
      </c>
    </row>
    <row r="98" ht="12.75">
      <c r="E98" s="18"/>
    </row>
    <row r="99" spans="2:5" ht="12.75">
      <c r="B99" s="6" t="s">
        <v>62</v>
      </c>
      <c r="E99" s="18" t="str">
        <f>IF(ISNONTEXT('Organizacija natjecanja'!H9)=TRUE,"",'Organizacija natjecanja'!H9)</f>
        <v>SENIORI</v>
      </c>
    </row>
    <row r="101" spans="1:9" ht="12.75">
      <c r="A101" s="36"/>
      <c r="B101" s="34" t="s">
        <v>81</v>
      </c>
      <c r="C101" s="34"/>
      <c r="D101" s="35" t="s">
        <v>64</v>
      </c>
      <c r="E101" s="34"/>
      <c r="F101" s="34" t="s">
        <v>74</v>
      </c>
      <c r="G101" s="35" t="s">
        <v>65</v>
      </c>
      <c r="H101" s="34" t="s">
        <v>75</v>
      </c>
      <c r="I101" s="36"/>
    </row>
    <row r="102" spans="2:8" ht="12.75">
      <c r="B102" s="37"/>
      <c r="C102" s="38"/>
      <c r="D102" s="38"/>
      <c r="E102" s="22"/>
      <c r="F102" s="22"/>
      <c r="G102" s="22"/>
      <c r="H102" s="39"/>
    </row>
    <row r="103" spans="2:8" s="68" customFormat="1" ht="15.75">
      <c r="B103" s="89">
        <f>VLOOKUP(D103,'Upis rezultata E sektora'!$E$2:$G$13,3,0)</f>
        <v>20</v>
      </c>
      <c r="C103" s="90"/>
      <c r="D103" s="96" t="str">
        <f>IF(ISNONTEXT('Upis rezultata E sektora'!E5)=TRUE,"",'Upis rezultata E sektora'!E5)</f>
        <v>Dražen Štajduhar</v>
      </c>
      <c r="E103" s="91"/>
      <c r="F103" s="92">
        <f>IF(ISNUMBER('Prijava ekipa i izvlačenje br.'!B5)=FALSE,"",'Prijava ekipa i izvlačenje br.'!B5)</f>
        <v>11</v>
      </c>
      <c r="G103" s="97" t="str">
        <f>IF((D103)="","","E")</f>
        <v>E</v>
      </c>
      <c r="H103" s="97">
        <f>IF(ISNUMBER('Upis rezultata E sektora'!C5)=FALSE,"",'Upis rezultata E sektora'!C5)</f>
        <v>4</v>
      </c>
    </row>
    <row r="104" spans="2:8" ht="12.75">
      <c r="B104" s="40"/>
      <c r="C104" s="29"/>
      <c r="D104" s="29"/>
      <c r="E104" s="25"/>
      <c r="F104" s="25"/>
      <c r="G104" s="25"/>
      <c r="H104" s="25"/>
    </row>
    <row r="106" spans="1:9" ht="12.75">
      <c r="A106" s="36"/>
      <c r="B106" s="41"/>
      <c r="C106" s="42" t="s">
        <v>76</v>
      </c>
      <c r="D106" s="43"/>
      <c r="E106" s="44" t="s">
        <v>77</v>
      </c>
      <c r="F106" s="43"/>
      <c r="G106" s="44" t="s">
        <v>78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79</v>
      </c>
      <c r="C111" s="6" t="str">
        <f>IF(ISNONTEXT('Organizacija natjecanja'!H30)=TRUE,"",'Organizacija natjecanja'!H30)</f>
        <v>Karlo Međurečan</v>
      </c>
      <c r="F111" s="6" t="s">
        <v>80</v>
      </c>
    </row>
    <row r="112" ht="12.75">
      <c r="B112" s="7"/>
    </row>
    <row r="113" ht="12.75">
      <c r="B113" s="7"/>
    </row>
    <row r="114" spans="2:3" ht="15">
      <c r="B114" s="31"/>
      <c r="C114" s="31" t="s">
        <v>70</v>
      </c>
    </row>
    <row r="115" ht="12.75">
      <c r="G115" s="18" t="str">
        <f>IF(ISNONTEXT('Organizacija natjecanja'!H5)=TRUE,"",'Organizacija natjecanja'!H5)</f>
        <v>Lipik, 28.04.2009.g.</v>
      </c>
    </row>
    <row r="116" ht="12.75">
      <c r="G116" s="19" t="s">
        <v>71</v>
      </c>
    </row>
    <row r="118" spans="4:8" ht="18">
      <c r="D118" s="32"/>
      <c r="E118" s="32" t="s">
        <v>72</v>
      </c>
      <c r="F118" s="32"/>
      <c r="G118" s="32"/>
      <c r="H118" s="32"/>
    </row>
    <row r="120" spans="5:8" ht="15">
      <c r="E120" s="20" t="str">
        <f>IF(ISNONTEXT('Organizacija natjecanja'!H2)=TRUE,"",'Organizacija natjecanja'!H2)</f>
        <v>KUP "BLJESAK"</v>
      </c>
      <c r="H120" s="21"/>
    </row>
    <row r="121" spans="4:8" ht="12.75">
      <c r="D121" s="7"/>
      <c r="E121" s="19" t="s">
        <v>73</v>
      </c>
      <c r="F121" s="7"/>
      <c r="G121" s="7"/>
      <c r="H121" s="7"/>
    </row>
    <row r="122" ht="12.75">
      <c r="D122" s="33"/>
    </row>
    <row r="123" spans="2:5" ht="15">
      <c r="B123" s="6" t="s">
        <v>69</v>
      </c>
      <c r="E123" s="20" t="str">
        <f>IF(ISNONTEXT('Upis rezultata C sektora'!D6)=TRUE,"",'Upis rezultata C sektora'!D6)</f>
        <v>Varaždin Varaždin</v>
      </c>
    </row>
    <row r="124" ht="12.75">
      <c r="E124" s="18"/>
    </row>
    <row r="125" spans="2:5" ht="12.75">
      <c r="B125" s="6" t="s">
        <v>62</v>
      </c>
      <c r="E125" s="18" t="str">
        <f>IF(ISNONTEXT('Organizacija natjecanja'!H9)=TRUE,"",'Organizacija natjecanja'!H9)</f>
        <v>SENIORI</v>
      </c>
    </row>
    <row r="127" spans="1:9" ht="12.75">
      <c r="A127" s="36"/>
      <c r="B127" s="34" t="s">
        <v>63</v>
      </c>
      <c r="C127" s="34"/>
      <c r="D127" s="35" t="s">
        <v>64</v>
      </c>
      <c r="E127" s="34"/>
      <c r="F127" s="34" t="s">
        <v>74</v>
      </c>
      <c r="G127" s="35" t="s">
        <v>65</v>
      </c>
      <c r="H127" s="34" t="s">
        <v>75</v>
      </c>
      <c r="I127" s="36"/>
    </row>
    <row r="128" spans="2:8" ht="12.75">
      <c r="B128" s="37"/>
      <c r="C128" s="38"/>
      <c r="D128" s="38"/>
      <c r="E128" s="22"/>
      <c r="F128" s="22"/>
      <c r="G128" s="22"/>
      <c r="H128" s="39"/>
    </row>
    <row r="129" spans="2:8" s="68" customFormat="1" ht="15.75">
      <c r="B129" s="89">
        <f>VLOOKUP(D129,'Upis rezultata E sektora'!$E$2:$G$13,3,0)</f>
        <v>25</v>
      </c>
      <c r="C129" s="90"/>
      <c r="D129" s="96" t="str">
        <f>IF(ISNONTEXT('Upis rezultata E sektora'!E6)=TRUE,"",'Upis rezultata E sektora'!E6)</f>
        <v>Kristijan Kosmačin</v>
      </c>
      <c r="E129" s="91"/>
      <c r="F129" s="92">
        <f>IF(ISNUMBER('Prijava ekipa i izvlačenje br.'!B6)=FALSE,"",'Prijava ekipa i izvlačenje br.'!B6)</f>
        <v>10</v>
      </c>
      <c r="G129" s="97" t="str">
        <f>IF((D129)="","","E")</f>
        <v>E</v>
      </c>
      <c r="H129" s="97">
        <f>IF(ISNUMBER('Upis rezultata E sektora'!C6)=FALSE,"",'Upis rezultata E sektora'!C6)</f>
        <v>5</v>
      </c>
    </row>
    <row r="130" spans="2:8" ht="12.75">
      <c r="B130" s="40"/>
      <c r="C130" s="29"/>
      <c r="D130" s="29"/>
      <c r="E130" s="25"/>
      <c r="F130" s="25"/>
      <c r="G130" s="25"/>
      <c r="H130" s="25"/>
    </row>
    <row r="132" spans="1:9" ht="12.75">
      <c r="A132" s="36"/>
      <c r="B132" s="41"/>
      <c r="C132" s="42" t="s">
        <v>76</v>
      </c>
      <c r="D132" s="43"/>
      <c r="E132" s="44" t="s">
        <v>77</v>
      </c>
      <c r="F132" s="43"/>
      <c r="G132" s="44" t="s">
        <v>78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79</v>
      </c>
      <c r="C137" s="6" t="str">
        <f>IF(ISNONTEXT('Organizacija natjecanja'!H30)=TRUE,"",'Organizacija natjecanja'!H30)</f>
        <v>Karlo Međurečan</v>
      </c>
      <c r="F137" s="6" t="s">
        <v>80</v>
      </c>
    </row>
    <row r="138" ht="12.75">
      <c r="B138" s="7"/>
    </row>
    <row r="139" ht="12.75">
      <c r="B139" s="7"/>
    </row>
    <row r="140" ht="12.75">
      <c r="B140" s="7"/>
    </row>
    <row r="141" ht="12.75">
      <c r="B141" s="7"/>
    </row>
    <row r="142" ht="12.75">
      <c r="B142" s="7"/>
    </row>
    <row r="144" spans="2:3" ht="15">
      <c r="B144" s="31"/>
      <c r="C144" s="31" t="s">
        <v>70</v>
      </c>
    </row>
    <row r="145" ht="12.75">
      <c r="G145" s="18" t="str">
        <f>IF(ISNONTEXT('Organizacija natjecanja'!H5)=TRUE,"",'Organizacija natjecanja'!H5)</f>
        <v>Lipik, 28.04.2009.g.</v>
      </c>
    </row>
    <row r="146" ht="12.75">
      <c r="G146" s="19" t="s">
        <v>71</v>
      </c>
    </row>
    <row r="148" spans="4:8" ht="18">
      <c r="D148" s="32"/>
      <c r="E148" s="32" t="s">
        <v>72</v>
      </c>
      <c r="F148" s="32"/>
      <c r="G148" s="32"/>
      <c r="H148" s="32"/>
    </row>
    <row r="150" spans="5:8" ht="15">
      <c r="E150" s="20" t="str">
        <f>IF(ISNONTEXT('Organizacija natjecanja'!H2)=TRUE,"",'Organizacija natjecanja'!H2)</f>
        <v>KUP "BLJESAK"</v>
      </c>
      <c r="H150" s="21"/>
    </row>
    <row r="151" spans="4:8" ht="12.75">
      <c r="D151" s="7"/>
      <c r="E151" s="19" t="s">
        <v>73</v>
      </c>
      <c r="F151" s="7"/>
      <c r="G151" s="7"/>
      <c r="H151" s="7"/>
    </row>
    <row r="152" ht="12.75">
      <c r="D152" s="33"/>
    </row>
    <row r="153" spans="2:5" ht="15">
      <c r="B153" s="6" t="s">
        <v>61</v>
      </c>
      <c r="E153" s="20" t="str">
        <f>IF(ISNONTEXT('Upis rezultata C sektora'!D7)=TRUE,"",'Upis rezultata C sektora'!D7)</f>
        <v>Azzuro Varaždin</v>
      </c>
    </row>
    <row r="154" ht="12.75">
      <c r="E154" s="18"/>
    </row>
    <row r="155" spans="2:5" ht="12.75">
      <c r="B155" s="6" t="s">
        <v>62</v>
      </c>
      <c r="E155" s="18" t="str">
        <f>IF(ISNONTEXT('Organizacija natjecanja'!H9)=TRUE,"",'Organizacija natjecanja'!H9)</f>
        <v>SENIORI</v>
      </c>
    </row>
    <row r="157" spans="1:9" ht="12.75">
      <c r="A157" s="36"/>
      <c r="B157" s="34" t="s">
        <v>81</v>
      </c>
      <c r="C157" s="34"/>
      <c r="D157" s="35" t="s">
        <v>64</v>
      </c>
      <c r="E157" s="34"/>
      <c r="F157" s="34" t="s">
        <v>74</v>
      </c>
      <c r="G157" s="35" t="s">
        <v>65</v>
      </c>
      <c r="H157" s="34" t="s">
        <v>75</v>
      </c>
      <c r="I157" s="36"/>
    </row>
    <row r="158" spans="2:8" ht="12.75">
      <c r="B158" s="37"/>
      <c r="C158" s="38"/>
      <c r="D158" s="38"/>
      <c r="E158" s="22"/>
      <c r="F158" s="22"/>
      <c r="G158" s="22"/>
      <c r="H158" s="39"/>
    </row>
    <row r="159" spans="2:8" s="68" customFormat="1" ht="15.75">
      <c r="B159" s="89">
        <f>VLOOKUP(D159,'Upis rezultata E sektora'!$E$2:$G$13,3,0)</f>
        <v>30</v>
      </c>
      <c r="C159" s="90"/>
      <c r="D159" s="96" t="str">
        <f>IF(ISNONTEXT('Upis rezultata E sektora'!E7)=TRUE,"",'Upis rezultata E sektora'!E7)</f>
        <v>Davor Florijanić</v>
      </c>
      <c r="E159" s="91"/>
      <c r="F159" s="92">
        <f>IF(ISNUMBER('Prijava ekipa i izvlačenje br.'!B7)=FALSE,"",'Prijava ekipa i izvlačenje br.'!B7)</f>
        <v>4</v>
      </c>
      <c r="G159" s="97" t="str">
        <f>IF((D159)="","","E")</f>
        <v>E</v>
      </c>
      <c r="H159" s="97">
        <f>IF(ISNUMBER('Upis rezultata E sektora'!C7)=FALSE,"",'Upis rezultata E sektora'!C7)</f>
        <v>6</v>
      </c>
    </row>
    <row r="160" spans="2:8" ht="12.75">
      <c r="B160" s="40"/>
      <c r="C160" s="29"/>
      <c r="D160" s="29"/>
      <c r="E160" s="25"/>
      <c r="F160" s="25"/>
      <c r="G160" s="25"/>
      <c r="H160" s="25"/>
    </row>
    <row r="162" spans="1:9" ht="12.75">
      <c r="A162" s="36"/>
      <c r="B162" s="41"/>
      <c r="C162" s="42" t="s">
        <v>76</v>
      </c>
      <c r="D162" s="43"/>
      <c r="E162" s="44" t="s">
        <v>77</v>
      </c>
      <c r="F162" s="43"/>
      <c r="G162" s="44" t="s">
        <v>78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79</v>
      </c>
      <c r="C167" s="6" t="str">
        <f>IF(ISNONTEXT('Organizacija natjecanja'!H30)=TRUE,"",'Organizacija natjecanja'!H30)</f>
        <v>Karlo Međurečan</v>
      </c>
      <c r="F167" s="6" t="s">
        <v>80</v>
      </c>
    </row>
    <row r="168" ht="12.75">
      <c r="B168" s="7"/>
    </row>
    <row r="169" ht="12.75">
      <c r="B169" s="7"/>
    </row>
    <row r="170" spans="2:3" ht="15">
      <c r="B170" s="31"/>
      <c r="C170" s="31" t="s">
        <v>70</v>
      </c>
    </row>
    <row r="171" ht="12.75">
      <c r="G171" s="18" t="str">
        <f>IF(ISNONTEXT('Organizacija natjecanja'!H5)=TRUE,"",'Organizacija natjecanja'!H5)</f>
        <v>Lipik, 28.04.2009.g.</v>
      </c>
    </row>
    <row r="172" ht="12.75">
      <c r="G172" s="19" t="s">
        <v>71</v>
      </c>
    </row>
    <row r="174" spans="4:8" ht="18">
      <c r="D174" s="32"/>
      <c r="E174" s="32" t="s">
        <v>72</v>
      </c>
      <c r="F174" s="32"/>
      <c r="G174" s="32"/>
      <c r="H174" s="32"/>
    </row>
    <row r="176" spans="5:8" ht="15">
      <c r="E176" s="20" t="str">
        <f>IF(ISNONTEXT('Organizacija natjecanja'!H2)=TRUE,"",'Organizacija natjecanja'!H2)</f>
        <v>KUP "BLJESAK"</v>
      </c>
      <c r="H176" s="21"/>
    </row>
    <row r="177" spans="4:8" ht="12.75">
      <c r="D177" s="7"/>
      <c r="E177" s="19" t="s">
        <v>73</v>
      </c>
      <c r="F177" s="7"/>
      <c r="G177" s="7"/>
      <c r="H177" s="7"/>
    </row>
    <row r="178" ht="12.75">
      <c r="D178" s="33"/>
    </row>
    <row r="179" spans="2:5" ht="15">
      <c r="B179" s="6" t="s">
        <v>69</v>
      </c>
      <c r="E179" s="20" t="str">
        <f>IF(ISNONTEXT('Upis rezultata C sektora'!D8)=TRUE,"",'Upis rezultata C sektora'!D8)</f>
        <v>Trnje-ŠR Zagreb</v>
      </c>
    </row>
    <row r="180" ht="12.75">
      <c r="E180" s="18"/>
    </row>
    <row r="181" spans="2:5" ht="12.75">
      <c r="B181" s="6" t="s">
        <v>62</v>
      </c>
      <c r="E181" s="18" t="str">
        <f>IF(ISNONTEXT('Organizacija natjecanja'!H9)=TRUE,"",'Organizacija natjecanja'!H9)</f>
        <v>SENIORI</v>
      </c>
    </row>
    <row r="183" spans="1:9" ht="12.75">
      <c r="A183" s="36"/>
      <c r="B183" s="34" t="s">
        <v>63</v>
      </c>
      <c r="C183" s="34"/>
      <c r="D183" s="35" t="s">
        <v>64</v>
      </c>
      <c r="E183" s="34"/>
      <c r="F183" s="34" t="s">
        <v>74</v>
      </c>
      <c r="G183" s="35" t="s">
        <v>65</v>
      </c>
      <c r="H183" s="34" t="s">
        <v>75</v>
      </c>
      <c r="I183" s="36"/>
    </row>
    <row r="184" spans="2:8" ht="12.75">
      <c r="B184" s="37"/>
      <c r="C184" s="38"/>
      <c r="D184" s="38"/>
      <c r="E184" s="22"/>
      <c r="F184" s="22"/>
      <c r="G184" s="22"/>
      <c r="H184" s="39"/>
    </row>
    <row r="185" spans="2:8" s="68" customFormat="1" ht="15.75">
      <c r="B185" s="89">
        <f>VLOOKUP(D185,'Upis rezultata E sektora'!$E$2:$G$13,3,0)</f>
        <v>35</v>
      </c>
      <c r="C185" s="90"/>
      <c r="D185" s="96" t="str">
        <f>IF(ISNONTEXT('Upis rezultata E sektora'!E8)=TRUE,"",'Upis rezultata E sektora'!E8)</f>
        <v>Goran Abramović</v>
      </c>
      <c r="E185" s="91"/>
      <c r="F185" s="92">
        <f>IF(ISNUMBER('Prijava ekipa i izvlačenje br.'!B8)=FALSE,"",'Prijava ekipa i izvlačenje br.'!B8)</f>
        <v>2</v>
      </c>
      <c r="G185" s="97" t="str">
        <f>IF((D185)="","","E")</f>
        <v>E</v>
      </c>
      <c r="H185" s="97">
        <f>IF(ISNUMBER('Upis rezultata E sektora'!C8)=FALSE,"",'Upis rezultata E sektora'!C8)</f>
        <v>7</v>
      </c>
    </row>
    <row r="186" spans="2:8" ht="12.75">
      <c r="B186" s="40"/>
      <c r="C186" s="29"/>
      <c r="D186" s="29"/>
      <c r="E186" s="25"/>
      <c r="F186" s="25"/>
      <c r="G186" s="25"/>
      <c r="H186" s="25"/>
    </row>
    <row r="188" spans="1:9" ht="12.75">
      <c r="A188" s="36"/>
      <c r="B188" s="41"/>
      <c r="C188" s="42" t="s">
        <v>76</v>
      </c>
      <c r="D188" s="43"/>
      <c r="E188" s="44" t="s">
        <v>77</v>
      </c>
      <c r="F188" s="43"/>
      <c r="G188" s="44" t="s">
        <v>78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79</v>
      </c>
      <c r="C193" s="6" t="str">
        <f>IF(ISNONTEXT('Organizacija natjecanja'!H30)=TRUE,"",'Organizacija natjecanja'!H30)</f>
        <v>Karlo Međurečan</v>
      </c>
      <c r="F193" s="6" t="s">
        <v>80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70</v>
      </c>
    </row>
    <row r="201" ht="12.75">
      <c r="G201" s="18" t="str">
        <f>IF(ISNONTEXT('Organizacija natjecanja'!H5)=TRUE,"",'Organizacija natjecanja'!H5)</f>
        <v>Lipik, 28.04.2009.g.</v>
      </c>
    </row>
    <row r="202" ht="12.75">
      <c r="G202" s="19" t="s">
        <v>71</v>
      </c>
    </row>
    <row r="204" spans="4:8" ht="18">
      <c r="D204" s="32"/>
      <c r="E204" s="32" t="s">
        <v>72</v>
      </c>
      <c r="F204" s="32"/>
      <c r="G204" s="32"/>
      <c r="H204" s="32"/>
    </row>
    <row r="206" spans="5:8" ht="15">
      <c r="E206" s="20" t="str">
        <f>IF(ISNONTEXT('Organizacija natjecanja'!H2)=TRUE,"",'Organizacija natjecanja'!H2)</f>
        <v>KUP "BLJESAK"</v>
      </c>
      <c r="H206" s="21"/>
    </row>
    <row r="207" spans="4:8" ht="12.75">
      <c r="D207" s="7"/>
      <c r="E207" s="19" t="s">
        <v>73</v>
      </c>
      <c r="F207" s="7"/>
      <c r="G207" s="7"/>
      <c r="H207" s="7"/>
    </row>
    <row r="208" ht="12.75">
      <c r="D208" s="33"/>
    </row>
    <row r="209" spans="2:5" ht="15">
      <c r="B209" s="6" t="s">
        <v>61</v>
      </c>
      <c r="E209" s="20" t="str">
        <f>IF(ISNONTEXT('Upis rezultata C sektora'!D9)=TRUE,"",'Upis rezultata C sektora'!D9)</f>
        <v>Klen N.Gradiška</v>
      </c>
    </row>
    <row r="210" ht="12.75">
      <c r="E210" s="18"/>
    </row>
    <row r="211" spans="2:5" ht="12.75">
      <c r="B211" s="6" t="s">
        <v>62</v>
      </c>
      <c r="E211" s="18" t="str">
        <f>IF(ISNONTEXT('Organizacija natjecanja'!H9)=TRUE,"",'Organizacija natjecanja'!H9)</f>
        <v>SENIORI</v>
      </c>
    </row>
    <row r="213" spans="1:9" ht="12.75">
      <c r="A213" s="36"/>
      <c r="B213" s="34" t="s">
        <v>81</v>
      </c>
      <c r="C213" s="34"/>
      <c r="D213" s="35" t="s">
        <v>64</v>
      </c>
      <c r="E213" s="34"/>
      <c r="F213" s="34" t="s">
        <v>74</v>
      </c>
      <c r="G213" s="35" t="s">
        <v>65</v>
      </c>
      <c r="H213" s="34" t="s">
        <v>75</v>
      </c>
      <c r="I213" s="36"/>
    </row>
    <row r="214" spans="2:8" ht="12.75">
      <c r="B214" s="37"/>
      <c r="C214" s="38"/>
      <c r="D214" s="38"/>
      <c r="E214" s="22"/>
      <c r="F214" s="22"/>
      <c r="G214" s="22"/>
      <c r="H214" s="39"/>
    </row>
    <row r="215" spans="2:8" s="68" customFormat="1" ht="15.75">
      <c r="B215" s="89">
        <f>VLOOKUP(D215,'Upis rezultata E sektora'!$E$2:$G$13,3,0)</f>
        <v>40</v>
      </c>
      <c r="C215" s="90"/>
      <c r="D215" s="96" t="str">
        <f>IF(ISNONTEXT('Upis rezultata E sektora'!E9)=TRUE,"",'Upis rezultata E sektora'!E9)</f>
        <v>Stiven Palijan</v>
      </c>
      <c r="E215" s="91"/>
      <c r="F215" s="92">
        <f>IF(ISNUMBER('Prijava ekipa i izvlačenje br.'!B9)=FALSE,"",'Prijava ekipa i izvlačenje br.'!B9)</f>
        <v>6</v>
      </c>
      <c r="G215" s="97" t="str">
        <f>IF((D215)="","","E")</f>
        <v>E</v>
      </c>
      <c r="H215" s="97">
        <f>IF(ISNUMBER('Upis rezultata E sektora'!C9)=FALSE,"",'Upis rezultata E sektora'!C9)</f>
        <v>8</v>
      </c>
    </row>
    <row r="216" spans="2:8" ht="12.75">
      <c r="B216" s="40"/>
      <c r="C216" s="29"/>
      <c r="D216" s="29"/>
      <c r="E216" s="25"/>
      <c r="F216" s="25"/>
      <c r="G216" s="25"/>
      <c r="H216" s="25"/>
    </row>
    <row r="218" spans="1:9" ht="12.75">
      <c r="A218" s="36"/>
      <c r="B218" s="41"/>
      <c r="C218" s="42" t="s">
        <v>76</v>
      </c>
      <c r="D218" s="43"/>
      <c r="E218" s="44" t="s">
        <v>77</v>
      </c>
      <c r="F218" s="43"/>
      <c r="G218" s="44" t="s">
        <v>78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79</v>
      </c>
      <c r="C223" s="6" t="str">
        <f>IF(ISNONTEXT('Organizacija natjecanja'!H30)=TRUE,"",'Organizacija natjecanja'!H30)</f>
        <v>Karlo Međurečan</v>
      </c>
      <c r="F223" s="6" t="s">
        <v>80</v>
      </c>
    </row>
    <row r="224" ht="12.75">
      <c r="B224" s="7"/>
    </row>
    <row r="225" ht="12.75">
      <c r="B225" s="7"/>
    </row>
    <row r="226" spans="2:3" ht="15">
      <c r="B226" s="31"/>
      <c r="C226" s="31" t="s">
        <v>70</v>
      </c>
    </row>
    <row r="227" ht="12.75">
      <c r="G227" s="18" t="str">
        <f>IF(ISNONTEXT('Organizacija natjecanja'!H5)=TRUE,"",'Organizacija natjecanja'!H5)</f>
        <v>Lipik, 28.04.2009.g.</v>
      </c>
    </row>
    <row r="228" ht="12.75">
      <c r="G228" s="19" t="s">
        <v>71</v>
      </c>
    </row>
    <row r="230" spans="4:8" ht="18">
      <c r="D230" s="32"/>
      <c r="E230" s="32" t="s">
        <v>72</v>
      </c>
      <c r="F230" s="32"/>
      <c r="G230" s="32"/>
      <c r="H230" s="32"/>
    </row>
    <row r="232" spans="5:8" ht="15">
      <c r="E232" s="20" t="str">
        <f>IF(ISNONTEXT('Organizacija natjecanja'!H2)=TRUE,"",'Organizacija natjecanja'!H2)</f>
        <v>KUP "BLJESAK"</v>
      </c>
      <c r="H232" s="21"/>
    </row>
    <row r="233" spans="4:8" ht="12.75">
      <c r="D233" s="7"/>
      <c r="E233" s="19" t="s">
        <v>73</v>
      </c>
      <c r="F233" s="7"/>
      <c r="G233" s="7"/>
      <c r="H233" s="7"/>
    </row>
    <row r="234" ht="12.75">
      <c r="D234" s="33"/>
    </row>
    <row r="235" spans="2:5" ht="15">
      <c r="B235" s="6" t="s">
        <v>69</v>
      </c>
      <c r="E235" s="20" t="str">
        <f>IF(ISNONTEXT('Upis rezultata C sektora'!D10)=TRUE,"",'Upis rezultata C sektora'!D10)</f>
        <v>Bjelka GME Sunja</v>
      </c>
    </row>
    <row r="236" ht="12.75">
      <c r="E236" s="18"/>
    </row>
    <row r="237" spans="2:5" ht="12.75">
      <c r="B237" s="6" t="s">
        <v>62</v>
      </c>
      <c r="E237" s="18" t="str">
        <f>IF(ISNONTEXT('Organizacija natjecanja'!H9)=TRUE,"",'Organizacija natjecanja'!H9)</f>
        <v>SENIORI</v>
      </c>
    </row>
    <row r="239" spans="1:9" ht="12.75">
      <c r="A239" s="36"/>
      <c r="B239" s="34" t="s">
        <v>63</v>
      </c>
      <c r="C239" s="34"/>
      <c r="D239" s="35" t="s">
        <v>64</v>
      </c>
      <c r="E239" s="34"/>
      <c r="F239" s="34" t="s">
        <v>74</v>
      </c>
      <c r="G239" s="35" t="s">
        <v>65</v>
      </c>
      <c r="H239" s="34" t="s">
        <v>75</v>
      </c>
      <c r="I239" s="36"/>
    </row>
    <row r="240" spans="2:8" ht="12.75">
      <c r="B240" s="37"/>
      <c r="C240" s="38"/>
      <c r="D240" s="38"/>
      <c r="E240" s="22"/>
      <c r="F240" s="22"/>
      <c r="G240" s="22"/>
      <c r="H240" s="39"/>
    </row>
    <row r="241" spans="2:8" s="68" customFormat="1" ht="15.75">
      <c r="B241" s="89">
        <f>VLOOKUP(D241,'Upis rezultata E sektora'!$E$2:$G$13,3,0)</f>
        <v>45</v>
      </c>
      <c r="C241" s="90"/>
      <c r="D241" s="96" t="str">
        <f>IF(ISNONTEXT('Upis rezultata E sektora'!E10)=TRUE,"",'Upis rezultata E sektora'!E10)</f>
        <v>Damir Jauševac</v>
      </c>
      <c r="E241" s="91"/>
      <c r="F241" s="92">
        <f>IF(ISNUMBER('Prijava ekipa i izvlačenje br.'!B10)=FALSE,"",'Prijava ekipa i izvlačenje br.'!B10)</f>
        <v>5</v>
      </c>
      <c r="G241" s="97" t="str">
        <f>IF((D241)="","","E")</f>
        <v>E</v>
      </c>
      <c r="H241" s="97">
        <f>IF(ISNUMBER('Upis rezultata E sektora'!C10)=FALSE,"",'Upis rezultata E sektora'!C10)</f>
        <v>9</v>
      </c>
    </row>
    <row r="242" spans="2:8" ht="12.75">
      <c r="B242" s="40"/>
      <c r="C242" s="29"/>
      <c r="D242" s="29"/>
      <c r="E242" s="25"/>
      <c r="F242" s="25"/>
      <c r="G242" s="25"/>
      <c r="H242" s="25"/>
    </row>
    <row r="244" spans="1:9" ht="12.75">
      <c r="A244" s="36"/>
      <c r="B244" s="41"/>
      <c r="C244" s="42" t="s">
        <v>76</v>
      </c>
      <c r="D244" s="43"/>
      <c r="E244" s="44" t="s">
        <v>77</v>
      </c>
      <c r="F244" s="43"/>
      <c r="G244" s="44" t="s">
        <v>78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79</v>
      </c>
      <c r="C249" s="6" t="str">
        <f>IF(ISNONTEXT('Organizacija natjecanja'!H30)=TRUE,"",'Organizacija natjecanja'!H30)</f>
        <v>Karlo Međurečan</v>
      </c>
      <c r="F249" s="6" t="s">
        <v>80</v>
      </c>
    </row>
    <row r="250" ht="12.75">
      <c r="B250" s="7"/>
    </row>
    <row r="251" ht="12.75">
      <c r="B251" s="7"/>
    </row>
    <row r="252" ht="12.75">
      <c r="B252" s="7"/>
    </row>
    <row r="253" ht="12.75">
      <c r="B253" s="7"/>
    </row>
    <row r="254" ht="12.75">
      <c r="B254" s="7"/>
    </row>
    <row r="255" spans="1:9" ht="12.75">
      <c r="A255" s="30"/>
      <c r="B255" s="46"/>
      <c r="C255" s="30"/>
      <c r="D255" s="30"/>
      <c r="E255" s="30"/>
      <c r="F255" s="30"/>
      <c r="G255" s="30"/>
      <c r="H255" s="30"/>
      <c r="I255" s="30"/>
    </row>
    <row r="256" spans="2:3" ht="15">
      <c r="B256" s="31"/>
      <c r="C256" s="31" t="s">
        <v>70</v>
      </c>
    </row>
    <row r="257" ht="12.75">
      <c r="G257" s="18" t="str">
        <f>IF(ISNONTEXT('Organizacija natjecanja'!H5)=TRUE,"",'Organizacija natjecanja'!H5)</f>
        <v>Lipik, 28.04.2009.g.</v>
      </c>
    </row>
    <row r="258" ht="12.75">
      <c r="G258" s="19" t="s">
        <v>71</v>
      </c>
    </row>
    <row r="260" spans="4:8" ht="18">
      <c r="D260" s="32"/>
      <c r="E260" s="32" t="s">
        <v>72</v>
      </c>
      <c r="F260" s="32"/>
      <c r="G260" s="32"/>
      <c r="H260" s="32"/>
    </row>
    <row r="262" spans="5:8" ht="15">
      <c r="E262" s="20" t="str">
        <f>IF(ISNONTEXT('Organizacija natjecanja'!H2)=TRUE,"",'Organizacija natjecanja'!H2)</f>
        <v>KUP "BLJESAK"</v>
      </c>
      <c r="H262" s="21"/>
    </row>
    <row r="263" spans="4:8" ht="12.75">
      <c r="D263" s="7"/>
      <c r="E263" s="19" t="s">
        <v>73</v>
      </c>
      <c r="F263" s="7"/>
      <c r="G263" s="7"/>
      <c r="H263" s="7"/>
    </row>
    <row r="264" ht="12.75">
      <c r="D264" s="33"/>
    </row>
    <row r="265" spans="2:5" ht="15">
      <c r="B265" s="6" t="s">
        <v>61</v>
      </c>
      <c r="E265" s="20" t="str">
        <f>IF(ISNONTEXT('Upis rezultata C sektora'!D11)=TRUE,"",'Upis rezultata C sektora'!D11)</f>
        <v>TPK Zagreb</v>
      </c>
    </row>
    <row r="266" ht="12.75">
      <c r="E266" s="18"/>
    </row>
    <row r="267" spans="2:5" ht="12.75">
      <c r="B267" s="6" t="s">
        <v>62</v>
      </c>
      <c r="E267" s="18" t="str">
        <f>IF(ISNONTEXT('Organizacija natjecanja'!H9)=TRUE,"",'Organizacija natjecanja'!H9)</f>
        <v>SENIORI</v>
      </c>
    </row>
    <row r="269" spans="1:9" ht="12.75">
      <c r="A269" s="36"/>
      <c r="B269" s="34" t="s">
        <v>81</v>
      </c>
      <c r="C269" s="34"/>
      <c r="D269" s="35" t="s">
        <v>64</v>
      </c>
      <c r="E269" s="34"/>
      <c r="F269" s="34" t="s">
        <v>74</v>
      </c>
      <c r="G269" s="35" t="s">
        <v>65</v>
      </c>
      <c r="H269" s="34" t="s">
        <v>75</v>
      </c>
      <c r="I269" s="36"/>
    </row>
    <row r="270" spans="2:8" ht="12.75">
      <c r="B270" s="37"/>
      <c r="C270" s="38"/>
      <c r="D270" s="38"/>
      <c r="E270" s="22"/>
      <c r="F270" s="22"/>
      <c r="G270" s="22"/>
      <c r="H270" s="39"/>
    </row>
    <row r="271" spans="2:8" s="68" customFormat="1" ht="15.75">
      <c r="B271" s="89">
        <f>VLOOKUP(D271,'Upis rezultata E sektora'!$E$2:$G$13,3,0)</f>
        <v>50</v>
      </c>
      <c r="C271" s="90"/>
      <c r="D271" s="96" t="str">
        <f>IF(ISNONTEXT('Upis rezultata E sektora'!E11)=TRUE,"",'Upis rezultata E sektora'!E11)</f>
        <v>Zoran Štefanić</v>
      </c>
      <c r="E271" s="91"/>
      <c r="F271" s="92">
        <f>IF(ISNUMBER('Prijava ekipa i izvlačenje br.'!B11)=FALSE,"",'Prijava ekipa i izvlačenje br.'!B11)</f>
        <v>1</v>
      </c>
      <c r="G271" s="97" t="str">
        <f>IF((D271)="","","E")</f>
        <v>E</v>
      </c>
      <c r="H271" s="97">
        <f>IF(ISNUMBER('Upis rezultata E sektora'!C11)=FALSE,"",'Upis rezultata E sektora'!C11)</f>
        <v>10</v>
      </c>
    </row>
    <row r="272" spans="2:8" ht="12.75">
      <c r="B272" s="40"/>
      <c r="C272" s="29"/>
      <c r="D272" s="29"/>
      <c r="E272" s="25"/>
      <c r="F272" s="25"/>
      <c r="G272" s="25"/>
      <c r="H272" s="25"/>
    </row>
    <row r="274" spans="1:9" ht="12.75">
      <c r="A274" s="36"/>
      <c r="B274" s="41"/>
      <c r="C274" s="42" t="s">
        <v>76</v>
      </c>
      <c r="D274" s="43"/>
      <c r="E274" s="44" t="s">
        <v>77</v>
      </c>
      <c r="F274" s="43"/>
      <c r="G274" s="44" t="s">
        <v>78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79</v>
      </c>
      <c r="C279" s="6" t="str">
        <f>IF(ISNONTEXT('Organizacija natjecanja'!H30)=TRUE,"",'Organizacija natjecanja'!H30)</f>
        <v>Karlo Međurečan</v>
      </c>
      <c r="F279" s="6" t="s">
        <v>80</v>
      </c>
    </row>
    <row r="280" ht="12.75">
      <c r="B280" s="7"/>
    </row>
    <row r="281" ht="12.75">
      <c r="B281" s="7"/>
    </row>
    <row r="282" spans="2:3" ht="15">
      <c r="B282" s="31"/>
      <c r="C282" s="31" t="s">
        <v>70</v>
      </c>
    </row>
    <row r="283" ht="12.75">
      <c r="G283" s="18" t="str">
        <f>IF(ISNONTEXT('Organizacija natjecanja'!H5)=TRUE,"",'Organizacija natjecanja'!H5)</f>
        <v>Lipik, 28.04.2009.g.</v>
      </c>
    </row>
    <row r="284" ht="12.75">
      <c r="G284" s="19" t="s">
        <v>71</v>
      </c>
    </row>
    <row r="286" spans="4:8" ht="18">
      <c r="D286" s="32"/>
      <c r="E286" s="32" t="s">
        <v>72</v>
      </c>
      <c r="F286" s="32"/>
      <c r="G286" s="32"/>
      <c r="H286" s="32"/>
    </row>
    <row r="288" spans="5:8" ht="15">
      <c r="E288" s="20" t="str">
        <f>IF(ISNONTEXT('Organizacija natjecanja'!H2)=TRUE,"",'Organizacija natjecanja'!H2)</f>
        <v>KUP "BLJESAK"</v>
      </c>
      <c r="H288" s="21"/>
    </row>
    <row r="289" spans="4:8" ht="12.75">
      <c r="D289" s="7"/>
      <c r="E289" s="19" t="s">
        <v>73</v>
      </c>
      <c r="F289" s="7"/>
      <c r="G289" s="7"/>
      <c r="H289" s="7"/>
    </row>
    <row r="290" ht="12.75">
      <c r="D290" s="33"/>
    </row>
    <row r="291" spans="2:5" ht="15">
      <c r="B291" s="6" t="s">
        <v>69</v>
      </c>
      <c r="E291" s="20" t="str">
        <f>IF(ISNONTEXT('Upis rezultata C sektora'!D12)=TRUE,"",'Upis rezultata C sektora'!D12)</f>
        <v>Ilova Garešnica</v>
      </c>
    </row>
    <row r="292" ht="12.75">
      <c r="E292" s="18"/>
    </row>
    <row r="293" spans="2:5" ht="12.75">
      <c r="B293" s="6" t="s">
        <v>62</v>
      </c>
      <c r="E293" s="18" t="str">
        <f>IF(ISNONTEXT('Organizacija natjecanja'!H9)=TRUE,"",'Organizacija natjecanja'!H9)</f>
        <v>SENIORI</v>
      </c>
    </row>
    <row r="295" spans="1:9" ht="12.75">
      <c r="A295" s="36"/>
      <c r="B295" s="34" t="s">
        <v>63</v>
      </c>
      <c r="C295" s="34"/>
      <c r="D295" s="35" t="s">
        <v>64</v>
      </c>
      <c r="E295" s="34"/>
      <c r="F295" s="34" t="s">
        <v>74</v>
      </c>
      <c r="G295" s="35" t="s">
        <v>65</v>
      </c>
      <c r="H295" s="34" t="s">
        <v>75</v>
      </c>
      <c r="I295" s="36"/>
    </row>
    <row r="296" spans="2:8" ht="12.75">
      <c r="B296" s="37"/>
      <c r="C296" s="38"/>
      <c r="D296" s="38"/>
      <c r="E296" s="22"/>
      <c r="F296" s="22"/>
      <c r="G296" s="22"/>
      <c r="H296" s="39"/>
    </row>
    <row r="297" spans="2:8" s="68" customFormat="1" ht="15.75">
      <c r="B297" s="89">
        <f>VLOOKUP(D297,'Upis rezultata E sektora'!$E$2:$G$13,3,0)</f>
        <v>55</v>
      </c>
      <c r="C297" s="90"/>
      <c r="D297" s="96" t="str">
        <f>IF(ISNONTEXT('Upis rezultata E sektora'!E12)=TRUE,"",'Upis rezultata E sektora'!E12)</f>
        <v>Josip Kutlić</v>
      </c>
      <c r="E297" s="91"/>
      <c r="F297" s="92">
        <f>IF(ISNUMBER('Prijava ekipa i izvlačenje br.'!B12)=FALSE,"",'Prijava ekipa i izvlačenje br.'!B12)</f>
        <v>8</v>
      </c>
      <c r="G297" s="97" t="str">
        <f>IF((D297)="","","E")</f>
        <v>E</v>
      </c>
      <c r="H297" s="97">
        <f>IF(ISNUMBER('Upis rezultata E sektora'!C12)=FALSE,"",'Upis rezultata E sektora'!C12)</f>
        <v>11</v>
      </c>
    </row>
    <row r="298" spans="2:8" ht="12.75">
      <c r="B298" s="40"/>
      <c r="C298" s="29"/>
      <c r="D298" s="29"/>
      <c r="E298" s="25"/>
      <c r="F298" s="25"/>
      <c r="G298" s="25"/>
      <c r="H298" s="25"/>
    </row>
    <row r="300" spans="1:9" ht="12.75">
      <c r="A300" s="36"/>
      <c r="B300" s="41"/>
      <c r="C300" s="42" t="s">
        <v>76</v>
      </c>
      <c r="D300" s="43"/>
      <c r="E300" s="44" t="s">
        <v>77</v>
      </c>
      <c r="F300" s="43"/>
      <c r="G300" s="44" t="s">
        <v>78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79</v>
      </c>
      <c r="C305" s="6" t="str">
        <f>IF(ISNONTEXT('Organizacija natjecanja'!H30)=TRUE,"",'Organizacija natjecanja'!H30)</f>
        <v>Karlo Međurečan</v>
      </c>
      <c r="F305" s="6" t="s">
        <v>80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70</v>
      </c>
    </row>
    <row r="313" ht="12.75">
      <c r="G313" s="18" t="str">
        <f>IF(ISNONTEXT('Organizacija natjecanja'!H5)=TRUE,"",'Organizacija natjecanja'!H5)</f>
        <v>Lipik, 28.04.2009.g.</v>
      </c>
    </row>
    <row r="314" ht="12.75">
      <c r="G314" s="19" t="s">
        <v>71</v>
      </c>
    </row>
    <row r="316" spans="4:8" ht="18">
      <c r="D316" s="32"/>
      <c r="E316" s="32" t="s">
        <v>72</v>
      </c>
      <c r="F316" s="32"/>
      <c r="G316" s="32"/>
      <c r="H316" s="32"/>
    </row>
    <row r="318" spans="5:8" ht="15">
      <c r="E318" s="20" t="str">
        <f>IF(ISNONTEXT('Organizacija natjecanja'!H2)=TRUE,"",'Organizacija natjecanja'!H2)</f>
        <v>KUP "BLJESAK"</v>
      </c>
      <c r="H318" s="21"/>
    </row>
    <row r="319" spans="4:8" ht="12.75">
      <c r="D319" s="7"/>
      <c r="E319" s="19" t="s">
        <v>73</v>
      </c>
      <c r="F319" s="7"/>
      <c r="G319" s="7"/>
      <c r="H319" s="7"/>
    </row>
    <row r="320" ht="12.75">
      <c r="D320" s="33"/>
    </row>
    <row r="321" spans="2:5" ht="15">
      <c r="B321" s="6" t="s">
        <v>61</v>
      </c>
      <c r="E321" s="20" t="str">
        <f>IF(ISNONTEXT('Upis rezultata C sektora'!D13)=TRUE,"",'Upis rezultata C sektora'!D13)</f>
        <v>Jez Jasenovac</v>
      </c>
    </row>
    <row r="322" ht="12.75">
      <c r="E322" s="18"/>
    </row>
    <row r="323" spans="2:5" ht="12.75">
      <c r="B323" s="6" t="s">
        <v>62</v>
      </c>
      <c r="E323" s="18" t="str">
        <f>IF(ISNONTEXT('Organizacija natjecanja'!H9)=TRUE,"",'Organizacija natjecanja'!H9)</f>
        <v>SENIORI</v>
      </c>
    </row>
    <row r="325" spans="1:9" ht="12.75">
      <c r="A325" s="36"/>
      <c r="B325" s="34" t="s">
        <v>81</v>
      </c>
      <c r="C325" s="34"/>
      <c r="D325" s="35" t="s">
        <v>64</v>
      </c>
      <c r="E325" s="34"/>
      <c r="F325" s="34" t="s">
        <v>74</v>
      </c>
      <c r="G325" s="35" t="s">
        <v>65</v>
      </c>
      <c r="H325" s="34" t="s">
        <v>75</v>
      </c>
      <c r="I325" s="36"/>
    </row>
    <row r="326" spans="2:8" ht="12.75">
      <c r="B326" s="37"/>
      <c r="C326" s="38"/>
      <c r="D326" s="38"/>
      <c r="E326" s="22"/>
      <c r="F326" s="22"/>
      <c r="G326" s="22"/>
      <c r="H326" s="39"/>
    </row>
    <row r="327" spans="2:8" s="68" customFormat="1" ht="15.75">
      <c r="B327" s="89">
        <f>VLOOKUP(D327,'Upis rezultata E sektora'!$E$2:$G$13,3,0)</f>
        <v>60</v>
      </c>
      <c r="C327" s="90"/>
      <c r="D327" s="96" t="str">
        <f>IF(ISNONTEXT('Upis rezultata E sektora'!E13)=TRUE,"",'Upis rezultata E sektora'!E13)</f>
        <v>Ivan Finek</v>
      </c>
      <c r="E327" s="91"/>
      <c r="F327" s="92">
        <f>IF(ISNUMBER('Prijava ekipa i izvlačenje br.'!B13)=FALSE,"",'Prijava ekipa i izvlačenje br.'!B13)</f>
        <v>12</v>
      </c>
      <c r="G327" s="97" t="str">
        <f>IF((D327)="","","E")</f>
        <v>E</v>
      </c>
      <c r="H327" s="97">
        <f>IF(ISNUMBER('Upis rezultata E sektora'!C13)=FALSE,"",'Upis rezultata E sektora'!C13)</f>
        <v>12</v>
      </c>
    </row>
    <row r="328" spans="2:8" ht="12.75">
      <c r="B328" s="40"/>
      <c r="C328" s="29"/>
      <c r="D328" s="29"/>
      <c r="E328" s="25"/>
      <c r="F328" s="25"/>
      <c r="G328" s="25"/>
      <c r="H328" s="25"/>
    </row>
    <row r="330" spans="1:9" ht="12.75">
      <c r="A330" s="36"/>
      <c r="B330" s="41"/>
      <c r="C330" s="42" t="s">
        <v>76</v>
      </c>
      <c r="D330" s="43"/>
      <c r="E330" s="44" t="s">
        <v>77</v>
      </c>
      <c r="F330" s="43"/>
      <c r="G330" s="44" t="s">
        <v>78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79</v>
      </c>
      <c r="C335" s="6" t="str">
        <f>IF(ISNONTEXT('Organizacija natjecanja'!H30)=TRUE,"",'Organizacija natjecanja'!H30)</f>
        <v>Karlo Međurečan</v>
      </c>
      <c r="F335" s="6" t="s">
        <v>80</v>
      </c>
    </row>
    <row r="336" ht="12.75">
      <c r="B336" s="7"/>
    </row>
  </sheetData>
  <sheetProtection password="C7E2" sheet="1" objects="1" scenarios="1"/>
  <printOptions/>
  <pageMargins left="0.7480314960629921" right="0.7480314960629921" top="0.77" bottom="0.79" header="0.62" footer="0.35433070866141736"/>
  <pageSetup horizontalDpi="300" verticalDpi="300" orientation="portrait" paperSize="9" r:id="rId3"/>
  <headerFooter alignWithMargins="0">
    <oddFooter>&amp;C&amp;"Arial,Kurziv"&amp;12&amp;YProgram za izračun rezultata i provođenje natjecanja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Mladen Čačić</dc:creator>
  <cp:keywords/>
  <dc:description/>
  <cp:lastModifiedBy>korisnik</cp:lastModifiedBy>
  <cp:lastPrinted>2008-04-28T11:55:25Z</cp:lastPrinted>
  <dcterms:created xsi:type="dcterms:W3CDTF">2005-04-11T18:30:17Z</dcterms:created>
  <dcterms:modified xsi:type="dcterms:W3CDTF">2013-03-16T18:01:34Z</dcterms:modified>
  <cp:category/>
  <cp:version/>
  <cp:contentType/>
  <cp:contentStatus/>
</cp:coreProperties>
</file>